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-15" windowWidth="13845" windowHeight="12840"/>
  </bookViews>
  <sheets>
    <sheet name="Форма мониторинга" sheetId="1" r:id="rId1"/>
  </sheets>
  <definedNames>
    <definedName name="_xlnm._FilterDatabase" localSheetId="0" hidden="1">'Форма мониторинга'!$A$7:$P$439</definedName>
    <definedName name="_xlnm.Print_Titles" localSheetId="0">'Форма мониторинга'!$7:$10</definedName>
    <definedName name="_xlnm.Print_Area" localSheetId="0">'Форма мониторинга'!$A$1:$K$440</definedName>
  </definedNames>
  <calcPr calcId="145621"/>
</workbook>
</file>

<file path=xl/calcChain.xml><?xml version="1.0" encoding="utf-8"?>
<calcChain xmlns="http://schemas.openxmlformats.org/spreadsheetml/2006/main">
  <c r="J251" i="1" l="1"/>
  <c r="K436" i="1" l="1"/>
  <c r="K435" i="1"/>
  <c r="K394" i="1"/>
  <c r="J362" i="1"/>
  <c r="K362" i="1"/>
  <c r="K306" i="1"/>
  <c r="K68" i="1"/>
  <c r="K12" i="1"/>
  <c r="K26" i="1"/>
  <c r="K283" i="1" l="1"/>
  <c r="K269" i="1"/>
  <c r="J396" i="1" l="1"/>
  <c r="K396" i="1"/>
  <c r="I396" i="1"/>
  <c r="J429" i="1"/>
  <c r="K429" i="1"/>
  <c r="J423" i="1"/>
  <c r="K423" i="1"/>
  <c r="J417" i="1"/>
  <c r="K417" i="1"/>
  <c r="J411" i="1"/>
  <c r="K411" i="1"/>
  <c r="J405" i="1"/>
  <c r="K405" i="1"/>
  <c r="J399" i="1"/>
  <c r="K399" i="1"/>
  <c r="J388" i="1"/>
  <c r="K388" i="1"/>
  <c r="J364" i="1"/>
  <c r="K364" i="1"/>
  <c r="J356" i="1"/>
  <c r="K356" i="1"/>
  <c r="J350" i="1"/>
  <c r="K350" i="1"/>
  <c r="J344" i="1"/>
  <c r="K344" i="1"/>
  <c r="J338" i="1"/>
  <c r="K338" i="1"/>
  <c r="J332" i="1"/>
  <c r="K332" i="1"/>
  <c r="J326" i="1"/>
  <c r="K326" i="1"/>
  <c r="J320" i="1"/>
  <c r="K320" i="1"/>
  <c r="J314" i="1"/>
  <c r="K314" i="1"/>
  <c r="J300" i="1"/>
  <c r="K300" i="1"/>
  <c r="I300" i="1"/>
  <c r="J289" i="1"/>
  <c r="K289" i="1"/>
  <c r="J283" i="1"/>
  <c r="J277" i="1"/>
  <c r="K277" i="1"/>
  <c r="J269" i="1"/>
  <c r="J245" i="1"/>
  <c r="K245" i="1"/>
  <c r="J239" i="1"/>
  <c r="K239" i="1"/>
  <c r="J233" i="1"/>
  <c r="K233" i="1"/>
  <c r="J227" i="1"/>
  <c r="K227" i="1"/>
  <c r="J208" i="1"/>
  <c r="K208" i="1"/>
  <c r="J202" i="1"/>
  <c r="K202" i="1"/>
  <c r="J196" i="1"/>
  <c r="K196" i="1"/>
  <c r="J190" i="1"/>
  <c r="K190" i="1"/>
  <c r="J178" i="1"/>
  <c r="K178" i="1"/>
  <c r="J172" i="1"/>
  <c r="K172" i="1"/>
  <c r="J166" i="1"/>
  <c r="K166" i="1"/>
  <c r="J160" i="1"/>
  <c r="K160" i="1"/>
  <c r="J154" i="1"/>
  <c r="K154" i="1"/>
  <c r="J148" i="1"/>
  <c r="K148" i="1"/>
  <c r="J124" i="1"/>
  <c r="K124" i="1"/>
  <c r="I124" i="1"/>
  <c r="J106" i="1"/>
  <c r="K106" i="1"/>
  <c r="J100" i="1"/>
  <c r="K100" i="1"/>
  <c r="J94" i="1"/>
  <c r="K94" i="1"/>
  <c r="J82" i="1"/>
  <c r="K82" i="1"/>
  <c r="J76" i="1"/>
  <c r="K76" i="1"/>
  <c r="J70" i="1"/>
  <c r="K70" i="1"/>
  <c r="J62" i="1"/>
  <c r="K62" i="1"/>
  <c r="J56" i="1"/>
  <c r="K56" i="1"/>
  <c r="J44" i="1"/>
  <c r="K44" i="1"/>
  <c r="K38" i="1"/>
  <c r="J38" i="1"/>
  <c r="J32" i="1"/>
  <c r="J12" i="1"/>
  <c r="J26" i="1"/>
  <c r="J214" i="1" l="1"/>
  <c r="K214" i="1"/>
  <c r="J20" i="1"/>
  <c r="J394" i="1" l="1"/>
  <c r="J435" i="1"/>
  <c r="K20" i="1" l="1"/>
  <c r="B10" i="1" l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l="1"/>
  <c r="N10" i="1" s="1"/>
  <c r="O10" i="1" s="1"/>
  <c r="P10" i="1" s="1"/>
  <c r="Q10" i="1" s="1"/>
  <c r="R10" i="1" s="1"/>
  <c r="L221" i="1" l="1"/>
  <c r="K221" i="1"/>
  <c r="I221" i="1"/>
  <c r="L184" i="1" l="1"/>
  <c r="K184" i="1"/>
  <c r="I184" i="1"/>
  <c r="L430" i="1" l="1"/>
  <c r="L429" i="1" s="1"/>
  <c r="I430" i="1"/>
  <c r="I429" i="1" s="1"/>
  <c r="L424" i="1"/>
  <c r="L423" i="1" s="1"/>
  <c r="I424" i="1"/>
  <c r="I423" i="1" s="1"/>
  <c r="L418" i="1"/>
  <c r="L417" i="1" s="1"/>
  <c r="I418" i="1"/>
  <c r="I417" i="1" s="1"/>
  <c r="L412" i="1"/>
  <c r="L411" i="1" s="1"/>
  <c r="I412" i="1"/>
  <c r="I411" i="1" s="1"/>
  <c r="L406" i="1"/>
  <c r="L405" i="1" s="1"/>
  <c r="I406" i="1"/>
  <c r="I405" i="1" s="1"/>
  <c r="L400" i="1"/>
  <c r="L399" i="1" s="1"/>
  <c r="I400" i="1"/>
  <c r="I399" i="1" s="1"/>
  <c r="L397" i="1"/>
  <c r="I397" i="1"/>
  <c r="L396" i="1"/>
  <c r="I390" i="1"/>
  <c r="L389" i="1"/>
  <c r="L388" i="1" s="1"/>
  <c r="I389" i="1"/>
  <c r="L364" i="1"/>
  <c r="I364" i="1"/>
  <c r="L357" i="1"/>
  <c r="L356" i="1" s="1"/>
  <c r="I357" i="1"/>
  <c r="I356" i="1" s="1"/>
  <c r="I352" i="1"/>
  <c r="L351" i="1"/>
  <c r="L350" i="1" s="1"/>
  <c r="I351" i="1"/>
  <c r="L345" i="1"/>
  <c r="L344" i="1" s="1"/>
  <c r="I345" i="1"/>
  <c r="I344" i="1" s="1"/>
  <c r="I339" i="1"/>
  <c r="I338" i="1" s="1"/>
  <c r="L333" i="1"/>
  <c r="L332" i="1" s="1"/>
  <c r="I333" i="1"/>
  <c r="I332" i="1" s="1"/>
  <c r="I328" i="1"/>
  <c r="L327" i="1"/>
  <c r="L326" i="1" s="1"/>
  <c r="I327" i="1"/>
  <c r="L321" i="1"/>
  <c r="L320" i="1" s="1"/>
  <c r="I321" i="1"/>
  <c r="I320" i="1" s="1"/>
  <c r="L315" i="1"/>
  <c r="L314" i="1" s="1"/>
  <c r="I315" i="1"/>
  <c r="I314" i="1" s="1"/>
  <c r="L309" i="1"/>
  <c r="L308" i="1" s="1"/>
  <c r="K308" i="1"/>
  <c r="J306" i="1"/>
  <c r="L292" i="1"/>
  <c r="I292" i="1"/>
  <c r="L291" i="1"/>
  <c r="I291" i="1"/>
  <c r="L284" i="1"/>
  <c r="L283" i="1" s="1"/>
  <c r="I284" i="1"/>
  <c r="I283" i="1" s="1"/>
  <c r="I279" i="1"/>
  <c r="L278" i="1"/>
  <c r="L277" i="1" s="1"/>
  <c r="I278" i="1"/>
  <c r="L273" i="1"/>
  <c r="I273" i="1"/>
  <c r="I272" i="1"/>
  <c r="I271" i="1"/>
  <c r="L270" i="1"/>
  <c r="I270" i="1"/>
  <c r="L258" i="1"/>
  <c r="L257" i="1" s="1"/>
  <c r="L246" i="1"/>
  <c r="L245" i="1" s="1"/>
  <c r="I246" i="1"/>
  <c r="I245" i="1" s="1"/>
  <c r="L241" i="1"/>
  <c r="I241" i="1"/>
  <c r="L240" i="1"/>
  <c r="I240" i="1"/>
  <c r="L234" i="1"/>
  <c r="L233" i="1" s="1"/>
  <c r="I233" i="1"/>
  <c r="L228" i="1"/>
  <c r="L227" i="1" s="1"/>
  <c r="I228" i="1"/>
  <c r="I227" i="1" s="1"/>
  <c r="I214" i="1"/>
  <c r="I209" i="1"/>
  <c r="I208" i="1" s="1"/>
  <c r="L203" i="1"/>
  <c r="L202" i="1" s="1"/>
  <c r="I203" i="1"/>
  <c r="I202" i="1" s="1"/>
  <c r="I197" i="1"/>
  <c r="I196" i="1" s="1"/>
  <c r="L191" i="1"/>
  <c r="L190" i="1" s="1"/>
  <c r="I191" i="1"/>
  <c r="I190" i="1" s="1"/>
  <c r="I180" i="1"/>
  <c r="I179" i="1"/>
  <c r="L173" i="1"/>
  <c r="L172" i="1" s="1"/>
  <c r="I173" i="1"/>
  <c r="I172" i="1" s="1"/>
  <c r="I167" i="1"/>
  <c r="I166" i="1" s="1"/>
  <c r="I161" i="1"/>
  <c r="I160" i="1" s="1"/>
  <c r="L155" i="1"/>
  <c r="L154" i="1" s="1"/>
  <c r="I155" i="1"/>
  <c r="I154" i="1" s="1"/>
  <c r="L149" i="1"/>
  <c r="L148" i="1" s="1"/>
  <c r="I149" i="1"/>
  <c r="I148" i="1" s="1"/>
  <c r="I106" i="1"/>
  <c r="I102" i="1"/>
  <c r="L101" i="1"/>
  <c r="L100" i="1" s="1"/>
  <c r="I101" i="1"/>
  <c r="I95" i="1"/>
  <c r="I94" i="1" s="1"/>
  <c r="L83" i="1"/>
  <c r="L82" i="1" s="1"/>
  <c r="I83" i="1"/>
  <c r="I82" i="1" s="1"/>
  <c r="I77" i="1"/>
  <c r="I76" i="1" s="1"/>
  <c r="L72" i="1"/>
  <c r="L70" i="1" s="1"/>
  <c r="I72" i="1"/>
  <c r="I71" i="1"/>
  <c r="J68" i="1"/>
  <c r="L63" i="1"/>
  <c r="L62" i="1" s="1"/>
  <c r="I63" i="1"/>
  <c r="I62" i="1" s="1"/>
  <c r="I57" i="1"/>
  <c r="I56" i="1" s="1"/>
  <c r="L45" i="1"/>
  <c r="L44" i="1" s="1"/>
  <c r="I45" i="1"/>
  <c r="I44" i="1" s="1"/>
  <c r="L39" i="1"/>
  <c r="L38" i="1" s="1"/>
  <c r="I39" i="1"/>
  <c r="I38" i="1" s="1"/>
  <c r="I33" i="1"/>
  <c r="I32" i="1" s="1"/>
  <c r="I28" i="1"/>
  <c r="I27" i="1"/>
  <c r="L21" i="1"/>
  <c r="L20" i="1" s="1"/>
  <c r="I21" i="1"/>
  <c r="I20" i="1" s="1"/>
  <c r="I16" i="1"/>
  <c r="I13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J436" i="1" l="1"/>
  <c r="I435" i="1"/>
  <c r="I100" i="1"/>
  <c r="I178" i="1"/>
  <c r="L269" i="1"/>
  <c r="L394" i="1"/>
  <c r="I350" i="1"/>
  <c r="I277" i="1"/>
  <c r="I12" i="1"/>
  <c r="I269" i="1"/>
  <c r="I326" i="1"/>
  <c r="I26" i="1"/>
  <c r="I239" i="1"/>
  <c r="L289" i="1"/>
  <c r="L362" i="1"/>
  <c r="I70" i="1"/>
  <c r="K251" i="1"/>
  <c r="L239" i="1"/>
  <c r="L251" i="1" s="1"/>
  <c r="I289" i="1"/>
  <c r="I388" i="1"/>
  <c r="I394" i="1" s="1"/>
  <c r="L435" i="1"/>
  <c r="A173" i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L68" i="1"/>
  <c r="I251" i="1" l="1"/>
  <c r="I362" i="1"/>
  <c r="L306" i="1"/>
  <c r="L436" i="1"/>
  <c r="I68" i="1"/>
  <c r="I306" i="1"/>
  <c r="A184" i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I436" i="1" l="1"/>
  <c r="A221" i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3" i="1" l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12" i="1"/>
  <c r="A364" i="1" l="1"/>
  <c r="A365" i="1" s="1"/>
  <c r="A366" i="1" s="1"/>
  <c r="A367" i="1" s="1"/>
  <c r="A368" i="1" s="1"/>
  <c r="A369" i="1" s="1"/>
  <c r="A370" i="1" l="1"/>
  <c r="A371" i="1" s="1"/>
  <c r="A372" i="1" s="1"/>
  <c r="A373" i="1" s="1"/>
  <c r="A374" i="1" l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l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</calcChain>
</file>

<file path=xl/sharedStrings.xml><?xml version="1.0" encoding="utf-8"?>
<sst xmlns="http://schemas.openxmlformats.org/spreadsheetml/2006/main" count="2937" uniqueCount="723">
  <si>
    <t>№</t>
  </si>
  <si>
    <t>Наименование ВЦП, основного мероприятия, контрольного события программы</t>
  </si>
  <si>
    <t>Срок начала реализации</t>
  </si>
  <si>
    <t>Срок окончания реализации (дата контрольного события)</t>
  </si>
  <si>
    <t xml:space="preserve">Подпрограмма 1 "Институты информационного общества" </t>
  </si>
  <si>
    <t>Основное мероприятие 1.01.01. Пропаганда и популяризация возможностей информационного общества и информационных технологий</t>
  </si>
  <si>
    <t>Популяризация информационного общества и информационных технологий посредством распространения наглядной раздаточной продукции (календари, магниты, ручки, блокноты, постеры) на массовых мероприятиях, выставках</t>
  </si>
  <si>
    <t>Размещение информации в СМИ по тематике информационного общества и информационных технологий, в том числе не менее 30 раз в год в республиканской и муниципальной прессе</t>
  </si>
  <si>
    <t>Х</t>
  </si>
  <si>
    <t>Основное мероприятие 1.01.02.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</si>
  <si>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Обеспечение исполнения Федерального закона "Об обеспечении доступа к информации о деятельности государственных органов и органов местного самоуправления"</t>
  </si>
  <si>
    <t>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</si>
  <si>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Актуализация информации о деятельности государственных органов Республики Коми, органов местного самоуправления в Республике Коми</t>
  </si>
  <si>
    <t>*</t>
  </si>
  <si>
    <t>Основное мероприятие 1.01.03. Содействие использованию населением Республики Коми инструментов информационных технологий</t>
  </si>
  <si>
    <t xml:space="preserve">Увеличение  численности населения Республики Коми, использующего альтернативные механизмы  получения государственных и муниципальных услуг Республики Коми </t>
  </si>
  <si>
    <t>Основное мероприятие 1.01.04. Совершенствование механизмов обеспечения права граждан, организаций и общественных объединений на обращение в государственные органы Республики Коми и органы местного самоуправления в Республике Коми</t>
  </si>
  <si>
    <t xml:space="preserve">Разработка и внедрение интерактивных технологий, обеспечивающих комфортные условия и доступность при обращении граждан, организаций и общественных объединений  в государственные органы Республики Коми и органы местного самоуправления в Республике Коми
</t>
  </si>
  <si>
    <t>1.01.04.02. Методологическое обеспечение организации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</si>
  <si>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 xml:space="preserve">Создание инфраструктуры, обеспечивающей внедрение информационно-коммуникационных технологий  на территории Республики Коми, включая создание кадровой базы, интеллектуального банка и сервисных организаций 
</t>
  </si>
  <si>
    <t>1.02.01.02. Разработка методических рекомендаций по формированию инфраструктуры ИКТ-кластера</t>
  </si>
  <si>
    <t>Разработка методических рекомендаций по формированию инфраструктуры ИКТ-кластера</t>
  </si>
  <si>
    <t>Основное мероприятие 1.02.02. Содействие развитию общественных организаций, действующих в области информационно - коммуникационных технологий</t>
  </si>
  <si>
    <t>Популяризация альтернативных методов предоставления государственных и муниципальных услуг Республики Коми, внедрение  информационно-коммуникационных технологий в повседневную жизнедеятельность человека</t>
  </si>
  <si>
    <t>Внедрение ИКТ в повседневную жизнедеятельность человека</t>
  </si>
  <si>
    <t>1.02.02.02. Разработка документации, регламентирующей порядок предоставления грантов в сфере ИКТ</t>
  </si>
  <si>
    <t>Разработка документации, регламентирующей порядок предоставления грантов в сфере ИКТ</t>
  </si>
  <si>
    <t>Основное мероприятие 1.02.03. Обеспечение функционирования институтов независимой экспертизы</t>
  </si>
  <si>
    <t>Создание механизмов внешней экспертной оценки при разработке механизмов внедрения информационно-коммуникационных технологий в государственных органах Республики Коми и органах местного самоуправления в Республике Коми, повышение прозрачности процедур закупочной деятельности в области информатизации</t>
  </si>
  <si>
    <t>1.02.03.01. Подготовка и обучение экспертов в области информационно-телекоммуникационных технологий</t>
  </si>
  <si>
    <t>Основное мероприятие 1.03.01. Проведение прикладных научно-исследовательских работ в области перспективного развития информационно-телекоммуникационных технологий</t>
  </si>
  <si>
    <t xml:space="preserve">Создание базы научно - 
исследовательских работ по направлениям реализации Программы, позволяющей формировать 
долгосрочный научный прогноз проводимых работ 
</t>
  </si>
  <si>
    <t>Организация проведения НИОКР "Моделирование социально-экономического развития территорий"</t>
  </si>
  <si>
    <t>Организация проведения НИОКР "Исследование и анализ сложных (комплексных) сетей"</t>
  </si>
  <si>
    <t>X</t>
  </si>
  <si>
    <t>Основное мероприятие 1.03.02. Организация научно-практических конференций, семинаров, мастер классов и иных мероприятий в области информационно-коммуникационных технологий</t>
  </si>
  <si>
    <t xml:space="preserve">Привлечение ресурсного потенциала (в том числе кадрового) в сферу развития  информационно-коммуникационных технологий в Республике Коми, в том числе за счет эффективного сотрудничества с организациями инфраструктуры  информационно-коммуникационных технологий  Российской Федерации 
</t>
  </si>
  <si>
    <t>1.03.02.02. Подготовка и предоставление материалов для участия в региональных, межрегиональных, российских и международных мероприятиях в области информационно-коммуникационных технологий</t>
  </si>
  <si>
    <t>Предоставление материалов для проведения не менее 2 региональных, межрегиональных, российских и международных мероприятий в области информационно-коммуникационных технологий</t>
  </si>
  <si>
    <t>Итого по мероприятиям подпрограммы 1:</t>
  </si>
  <si>
    <t xml:space="preserve">Подпрограмма 2 "Электронное правительство" </t>
  </si>
  <si>
    <t>Основное мероприятие 2.01.01. Внедрение и развитие специализированных ведомственных и межведомственных информационных систем в государственном и муниципальном управлении</t>
  </si>
  <si>
    <t>Запуск в эксплуатацию специализированных ведомственных и межведомственных информационных систем государственных органов Республики Коми, органов местного самоуправления в Республике Коми и подведомственных им учреждений</t>
  </si>
  <si>
    <t>Тиражирование ИС КАГУ для различных категорий бюджетных учреждений</t>
  </si>
  <si>
    <t>Внедрение специализированных информационных систем по запросу ведомств, требующих оперативного незамедлительного внедрения</t>
  </si>
  <si>
    <t>Основное мероприятие 2.01.02. Внедрение информационно - коммуникационных технологий в образовании и науке</t>
  </si>
  <si>
    <t>Повышение качества государственного управления путем внедрения информационно-коммуникационных технологий в образовании и науке</t>
  </si>
  <si>
    <t>2.01.02.02. Методологическое сопровождение проектов по информатизации в сфере образования Республики Коми</t>
  </si>
  <si>
    <t>Организация методологической поддержки ведения проектов в сфере информатизации образования в Республике Коми</t>
  </si>
  <si>
    <t>Основное мероприятие 2.01.03. Внедрение информационно-коммуникационных технологий в здравоохранении и социальной защите населения</t>
  </si>
  <si>
    <t xml:space="preserve">Повышение качества государственного управления путем внедрения информационно-коммуникационных технологий  в здравоохранении и социальной защите населения </t>
  </si>
  <si>
    <t>2.01.03.02. Методологическое сопровождение проектов по информатизации в сфере здравоохранения в Республике Коми</t>
  </si>
  <si>
    <t>Организация методологической поддержки ведения проектов в сфере информатизации здравоохранения в Республике Коми</t>
  </si>
  <si>
    <t>Основное мероприятие 2.01.04. Внедрение информационно-коммуникационных технологий в культуре</t>
  </si>
  <si>
    <t>Повышение качества государственного управления путем внедрения информационно-коммуникационных технологий в культуре</t>
  </si>
  <si>
    <t>Основное мероприятие 2.01.05. Внедрение информационно-коммуникационных технологий в управлении финансами</t>
  </si>
  <si>
    <t>2.01.05.02. Методологическое сопровождение проектов по информатизации в сфере управления финансами в Республике Коми</t>
  </si>
  <si>
    <t>Организация методологической поддержки ведения проектов в сфере информатизации управления финансами в Республике Коми</t>
  </si>
  <si>
    <t>Основное мероприятие 2.01.06. Внедрение и развитие информационно-коммуникационных технологий в земельно-имущественных отношениях</t>
  </si>
  <si>
    <t>Повышение качества государственного управления путем внедрения информационно-коммуникационных технологий в земельно-имущественных отношениях</t>
  </si>
  <si>
    <t>Внедрение автоматизированной системы "Похозяйственная книга"</t>
  </si>
  <si>
    <t>Основное мероприятие 2.01.07. Внедрение информационно-коммуникационных технологий в управлении жилищно-коммунальным хозяйством</t>
  </si>
  <si>
    <t xml:space="preserve">Повышение качества государственного управления путем внедрения информационно-коммуникационных технологий в управлении жилищно-коммунальным хозяйством </t>
  </si>
  <si>
    <t>2.01.07.02. Методологическое сопровождение проектов по информатизации в сфере управления жилищно-коммунальным хозяйством в Республике Коми</t>
  </si>
  <si>
    <t>Организация методологической поддержки ведения проектов в сфере информатизации жилищно-коммунального хозяйства в Республике Коми</t>
  </si>
  <si>
    <t>Основное мероприятие 2.01.08. Внедрение информационно-коммуникационных технологий в физкультуре и спорте</t>
  </si>
  <si>
    <t>Повышение качества государственного управления путем внедрения информационно-коммуникационных технологий в физкультуре и спорте</t>
  </si>
  <si>
    <t>2.01.08.01. Внедрение автоматизированной системы поддержки принятия решений  в сфере физической культуры и спорта РК</t>
  </si>
  <si>
    <t>Основное мероприятие 2.01.09. Внедрение информационно-коммуникационных технологий в  управлении сельским хозяйством</t>
  </si>
  <si>
    <t>Повышение качества государственного управления путем внедрения информационно-коммуникационных технологий в управлении сельским хозяйством</t>
  </si>
  <si>
    <t xml:space="preserve">2.01.09.01. Внедрение автоматизированной системы поддержки принятия решений  в сфере сельского хозяйства РК </t>
  </si>
  <si>
    <t>Основное мероприятие 2.01.10. Внедрение информационно-коммуникационных технологий в управлении природными ресурсами</t>
  </si>
  <si>
    <t>Повышение качества государственного управления путем внедрения информационно-коммуникационных технологий в управлении природными ресурсами</t>
  </si>
  <si>
    <t xml:space="preserve"> Прогнозирование возможных опасных гидрометеорологических явлений в целях принятия своевременных мер по их предупреждению</t>
  </si>
  <si>
    <t>2.01.10.02. Своевременное предупреждение об опасных гидрометеорологических явлениях на территории Республики Коми</t>
  </si>
  <si>
    <t>Повышение защищенности населения и сокращение потерь экономики от опасных гидрометеорологических явлений вследствие принятия своевременных мер по их предупреждению</t>
  </si>
  <si>
    <t>Основное мероприятие 2.01.11. Внедрение информационно-коммуникационных технологий в регулировании экономических отношений</t>
  </si>
  <si>
    <t>Повышение качества государственного управления путем внедрения информационно-коммуникационных технологий в регулировании экономических отношений</t>
  </si>
  <si>
    <t>Основное мероприятие 2.01.12. Внедрение информационно-коммуникационных технологий в управлении транспортной инфраструктурой</t>
  </si>
  <si>
    <t>Повышение качества государственного управления путем внедрения информационно-коммуникационных технологий в управлении транспортной инфраструктурой</t>
  </si>
  <si>
    <t xml:space="preserve">2.01.12.01. Разработка автоматизированной системы контроля и мониторинга объектов транспортной инфраструктуры </t>
  </si>
  <si>
    <t>Основное мероприятие 2.01.13. Внедрение информационно-коммуникационных технологий в туристической индустрии</t>
  </si>
  <si>
    <t>Повышение качества государственного управления путем внедрения информационно-коммуникационных технологий в туристической индустрии</t>
  </si>
  <si>
    <t>2.01.13.01. Продвижение информационно-туристического портала Республики Коми в сети Интернет</t>
  </si>
  <si>
    <t>Основное мероприятие 2.01.14.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</t>
  </si>
  <si>
    <t>Совершенствование механизмов межведомственного взаимодействия, сохранения и передачи информации между государственными органами Республики Коми, органами местного самоуправления в Республике Коми и подведомственными им учреждениями</t>
  </si>
  <si>
    <t xml:space="preserve">2.01.14.02.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</t>
  </si>
  <si>
    <t xml:space="preserve">Разработка единых системных требований единого информационного пространства в Республике Коми </t>
  </si>
  <si>
    <t>Основное мероприятие 2.01.15. Обеспечение функционирования системы коллективной разработки, согласования и утверждения документов</t>
  </si>
  <si>
    <t>Сокращение объёма бумажного документооборота в государственных органах Республики Коми и органах местного самоуправления в Республике Коми, повышение прозрачности процедур исполнения поручений на всех уровнях власти</t>
  </si>
  <si>
    <t>2.01.15.02. Организация бесперебойного функционирования системы межведомственного электронного документооборота (далее - СЭД)</t>
  </si>
  <si>
    <t>Бесперебойное функционирование СЭД</t>
  </si>
  <si>
    <t>Основное мероприятие 2.01.16. Перевод архивов в электронный вид</t>
  </si>
  <si>
    <t>Сохранение и обеспечение доступности к архивным фондам Республики Коми</t>
  </si>
  <si>
    <t xml:space="preserve">2.01.16.01. Перевод архивов в электронный вид 
</t>
  </si>
  <si>
    <t xml:space="preserve">Перевод в электронный вид не менее 0,50% единиц архивной информации </t>
  </si>
  <si>
    <t>Организация методологической поддержки сопровождения процесса перевода архивов в электронный вид</t>
  </si>
  <si>
    <t>Основное мероприятие 2.02.01. Развитие региональной комплексной информационной системы предоставления государственных услуг "Госуслуги – Республика Коми"</t>
  </si>
  <si>
    <t xml:space="preserve">Обеспечение доступа населению Республики Коми к получению государственных и муниципальных услуг в электронном виде
</t>
  </si>
  <si>
    <t xml:space="preserve">2.02.01.02.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</t>
  </si>
  <si>
    <t>Обеспечения соответствия федеральных и республиканских нормативных и методологических документов в части предоставления государственных и муниципальных услуг</t>
  </si>
  <si>
    <t>Основное мероприятие 2.02.02. Методологическое и организационное обеспечение перевода услуг в электронный вид и организации межведомственного взаимодействия</t>
  </si>
  <si>
    <t xml:space="preserve">Обеспечение возможности технологического
перевода в электронный вид процессов предоставления государственных и муниципальных услуг Республики Коми </t>
  </si>
  <si>
    <t xml:space="preserve">2.02.02.02.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</t>
  </si>
  <si>
    <t xml:space="preserve">Обеспечение информационной поддержки государственных и муниципальных служащих по вопросам перевода услуг в электронный вид и организации межведомственного взаимодействия </t>
  </si>
  <si>
    <t>Основное мероприятие 2.02.03. Организация технологического перевода в электронный вид процессов предоставления государственных и муниципальных услуг, развитие регионального сегмента инфраструктуры электронного правительства</t>
  </si>
  <si>
    <t xml:space="preserve"> Обеспечение возможности развития региональной комплексной информационной системы предоставления государственных услуг "Госуслуги - Республика Коми"
</t>
  </si>
  <si>
    <t>Основное мероприятие 2.02.05. Развитие сети многофункциональных центров предоставления государственных и муниципальных услуг в Республике Коми</t>
  </si>
  <si>
    <t>Исполнение требований федерального законодательства, в том числе Федерального закона "О предоставлении государственных и муниципальных услуг"</t>
  </si>
  <si>
    <t>Открытие многофункциональных центров предоставления государственных и муниципальных услуг в Республике Коми в соответствии с утвержденным планом-графиком (утвержден распоряжением Правительства Республики Коми от 28.02.2013 г. №62-р)</t>
  </si>
  <si>
    <t>Основное мероприятие 2.02.06. Обеспечение доступа к государственным и муниципальным услугам с использованием универсальной электронной карты</t>
  </si>
  <si>
    <t xml:space="preserve">Обеспечение работы пунктов приема заявлений и пунктов выдачи карт в 100% муниципальных образований в Республике Коми (городские округа и муниципальные районы) </t>
  </si>
  <si>
    <t>2.02.06.02. Консультирование по вопросам получения государственных и муниципальных услуг с помощью универсальной электронной карты, в том числе в Многофункциональных центрах предоставления государственных и муниципальных услуг в Республике Коми</t>
  </si>
  <si>
    <t>Обеспечение информирования граждан Республики Коми по вопросам получения государственных и муниципальных услуг с помощью универсальной электронной карты</t>
  </si>
  <si>
    <t>Основное мероприятие 2.02.07. Развитие и организация функционирования центра телефонного обслуживания</t>
  </si>
  <si>
    <t xml:space="preserve">2.02.07.01. Развитие и организация функционирования центра телефонного обслуживания </t>
  </si>
  <si>
    <t>Обеспечение консультационной поддержки по вопросам предоставления государственных и муниципальных услуг на базе центра телефонного обслуживания</t>
  </si>
  <si>
    <t>Основное мероприятие 2.03.01. Развитие системы обеспечения вызова экстренных оперативных служб через единый номер "112"</t>
  </si>
  <si>
    <t xml:space="preserve">Обеспечение возможности для населения Республики Коми вызова экстренных оперативных служб через единый номер "112" 
</t>
  </si>
  <si>
    <t>Внедрение системы обеспечения вызова экстренных оперативных служб через единый номер «112»</t>
  </si>
  <si>
    <t>2.03.01.02. Организационно-методологическое сопровождение внедрения системы обеспечения вызова экстренных оперативных служб через единый номер "112"</t>
  </si>
  <si>
    <t>Обеспечение организационно-методического сопровождения внедрения системы обеспечения вызова экстренных оперативных служб через единый номер "112"</t>
  </si>
  <si>
    <t>Основное мероприятие 2.03.02. Создание основного и резервного центров обработки вызовов: техническое перевооружение, строительство, реконструкция зданий и их оснащение</t>
  </si>
  <si>
    <t>Обеспечение возможности для населения Республики Коми  вызова экстренных оперативных служб через единый номер "112"</t>
  </si>
  <si>
    <t xml:space="preserve">2.03.02.01. Реконструкция помещений резервного центра обработки вызовов, расположенных по адресу: г. Ухта, ул. Бушуева, д. 10, их техническое перевооружение и оснащение
</t>
  </si>
  <si>
    <t>Ввод в эксплуатацию помещений резервного центра обработки вызовов, расположенных по адресу: г. Ухта, ул. Бушуева, д. 10</t>
  </si>
  <si>
    <t xml:space="preserve">2.03.02.02. Проектное сопровождение мероприятий по реконструкции помещений резервного центра обработки вызовов, расположенных по адресу: г. Ухта, ул. Бушуева, д.10 </t>
  </si>
  <si>
    <t xml:space="preserve">Обеспечение проектного сопровождения мероприятий по реконструкции помещений резервного центра обработки вызовов, расположенных по адресу: г. Ухта, ул. Бушуева, д.10 </t>
  </si>
  <si>
    <t>2.03.02.03. Реконструкция группы нежилых помещений второго этажа общественного здания по адресу: г.Сыктывкар, Ухтинское шоссе, д.2, для создания центра обработки вызова Системы 112</t>
  </si>
  <si>
    <t>Основное мероприятие 2.03.04.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</si>
  <si>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>Развитие информационно-аналитических систем и систем, обеспечивающих подготовку и принятие решений в государственных органах Республики Коми и органах местного самоуправления в Республике Коми</t>
  </si>
  <si>
    <t xml:space="preserve">Обеспечение технической поддержки информационно - аналитической системы прогнозирования, мониторинга лесопожарной обстановки и ликвидации лесных пожаров в Республике Коми </t>
  </si>
  <si>
    <t>Основное мероприятие 2.04.01.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</si>
  <si>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Организация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</si>
  <si>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 xml:space="preserve">2.04.01.01.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
</t>
  </si>
  <si>
    <t>Обеспечение методологической поддержки сбора, актуализации и обработки данных при создании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</si>
  <si>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2.04.01.02. Обеспечение функционирования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</si>
  <si>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Техническая поддержка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</si>
  <si>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Основное мероприятие 2.04.02. Формирование отраслевых, управленческих, социальных и иных информационно - аналитических ресурсов в государственном и муниципальном управлении</t>
  </si>
  <si>
    <t>Наличие отраслевых, управленческих, социальных и иных информационно-аналитических ресурсов в государственном и муниципальном управлении</t>
  </si>
  <si>
    <t>2.04.02.01. Развитие Единой информационно-аналитической системы Республики Коми</t>
  </si>
  <si>
    <t>Основное мероприятие 2.04.04. Внедрение информационно-поисковых сервисов</t>
  </si>
  <si>
    <t>Использование государственными органами Республики Коми, органами местного самоуправления в Республике Коми  информационно-поисковых сервисов в государственном и муниципальном управлении</t>
  </si>
  <si>
    <t>2.04.04.01. Развитие информационно-аналитической системы "Семантический архив"</t>
  </si>
  <si>
    <t xml:space="preserve">Подготовка информационно-аналитических материалов по запросам органов государственной власти Республики Коми и органов местного самоуправления в Республике Коми </t>
  </si>
  <si>
    <t>2.04.04.02. Сбор, накопление и систематизация аналитических материалов по запросам органов государственной власти Республики Коми и муниципальных образований в Республике Коми</t>
  </si>
  <si>
    <t xml:space="preserve">Обеспечение процесса подготовки информационно-аналитических материалов по запросам органов государственной власти Республики Коми и органов местного самоуправления в Республике Коми </t>
  </si>
  <si>
    <t>Итого по мероприятиям подпрограммы 2:</t>
  </si>
  <si>
    <t>Основное мероприятие 3.01.01. Содействие сохранению существующей сети почтовых отделений на территории Республики Коми в рамках реализации Соглашения между федеральным государственным унитарным предприятием «Почта России» и Правительством Республики Коми, утвержденного распоряжением Правительства Республики Коми от 15 августа 2011 г. N 336-р</t>
  </si>
  <si>
    <t xml:space="preserve">Обеспечение возможности оказания и получения  современных услуг почтовой связи на территории Республики Коми </t>
  </si>
  <si>
    <t>Основное мероприятие 3.02.01. Обеспечение перехода на цифровое эфирное телевещание</t>
  </si>
  <si>
    <t>Создание условий для развития цифрового телерадиовещания на всей территории Республики Коми</t>
  </si>
  <si>
    <t>Обеспечение малоимущих граждан Республики Коми доступом к цифровому наземному эфирному радиовещанию</t>
  </si>
  <si>
    <t>3.02.01.02. Методологическое обеспечение создания благоприятных условий для социально - незащищенных категорий населения при переходе на цифровое телевидение</t>
  </si>
  <si>
    <t xml:space="preserve">Обеспечение методологической поддержки создания благоприятных условий для социально - незащищенных категорий населения при переходе на цифровое телевидение </t>
  </si>
  <si>
    <t>Основное мероприятие 3.03.01. Организация деятельности Координационного совета по информатизации и развитию связи в Республике Коми</t>
  </si>
  <si>
    <t>Обеспечение координации действий при принятии решений всеми структурами, участвующими в процессе построения информационного общества и электронного правительства в Республике Коми</t>
  </si>
  <si>
    <t>3.03.01.01. Организация деятельности Координационного совета по информатизации и развитию связи в Республике Коми</t>
  </si>
  <si>
    <t>Основное мероприятие 3.04.01. Обеспечение доступности телекоммуникационной инфраструктуры электронного правительства в Республике Коми</t>
  </si>
  <si>
    <t>Обеспечение доступности телекоммуникационной инфраструктуры электронного правительства в Республике Коми для государственных органов Республики Коми, органов местного самоуправления в Республике Коми и подведомственных им учреждений,  населения</t>
  </si>
  <si>
    <t>Обеспечение коэффициента доступности услуг для подключенных клиентов - 99%</t>
  </si>
  <si>
    <t>3.04.01.04. Развитие производительной, отказоустойчивой и защищенной сети с использованием беспроводного широкополосного доступа (БШПД)</t>
  </si>
  <si>
    <t>3.04.01.05. Расширение доступа к сети передачи данных ОИВ РК и подведомственных учреждений</t>
  </si>
  <si>
    <t xml:space="preserve">Строительство внутризоновых каналов передачи данных для органов исполнительной власти Республики Коми и подведомственных им учреждений, органов местного самоуправления в Республике Коми </t>
  </si>
  <si>
    <t>3.04.01.06. Построение и модернизация локальных вычислительных сетей в ОГВ, ОМСУ и подведомственных учреждениях</t>
  </si>
  <si>
    <t>Основное мероприятие 3.04.02. Обеспечение соответствия вычислительных мощностей инфраструктуры электронного правительства в Республике Коми текущим потребностям</t>
  </si>
  <si>
    <t xml:space="preserve">Соответствие вычислительных мощностей инфраструктуры электронного правительства в Республике Коми текущим потребностям государственных органов Республики Коми и подведомственных им учреждений, органов местного самоуправления в Республике Коми 
</t>
  </si>
  <si>
    <t xml:space="preserve">Доступность мощностей инфраструктуры электронного правительства в Республике Коми - 99% </t>
  </si>
  <si>
    <t>3.04.02.02. Создание резервного ЦОДа в г. Ухта</t>
  </si>
  <si>
    <t>Создание резервного ЦОД в г. Ухта</t>
  </si>
  <si>
    <t>Основное мероприятие 3.04.03. Обеспечение соответствия технических элементов инфраструктуры электронного правительства в Республике Коми текущим потребностям</t>
  </si>
  <si>
    <t>Соответствие технических элементов инфраструктуры электронного правительства в Республике Коми текущим потребностям государственных органов Республики Коми, органов местного самоуправления в Республике Коми и подведомственных им учреждений</t>
  </si>
  <si>
    <t>Обеспечение соответствия технических элементов инфраструктуры электронного правительства в Республике Коми текущим потребностям государственных органов Республики Коми, органов местного самоуправления в Республике Коми и подведомственных им учреждений</t>
  </si>
  <si>
    <t>3.04.03.02. Проведение экспертиз компьютерной техники, оргтехники в органах государственной власти Республики Коми и их подведомственных учреждениях</t>
  </si>
  <si>
    <t xml:space="preserve">Выявление технических элементов, не соответствующих инфраструктуре электронного правительства в Республике Коми </t>
  </si>
  <si>
    <t>Основное мероприятие 3.04.05. Обеспечение функционирования информационно-коммуникационных технологий путем проведения закупок товаров, работ и услуг</t>
  </si>
  <si>
    <t xml:space="preserve">Обеспечение функционирования информационно-коммуникационных технологий в государственных органах Республики Коми и подведомственных им казенных учреждениях </t>
  </si>
  <si>
    <t>3.04.05.01. Приобретение средств вычислительной техники, копировально - множительной техники и иной оргтехники для УФСКН в рамках региональной программы "Обеспечение правопорядка и безопасности граждан в 2014 году"</t>
  </si>
  <si>
    <t>3.04.05.02. Приобретение средств вычислительной техники, копировально - множительной техники и иной оргтехники для организации работы с лицами, осужденными к наказаниям без изоляции от общества в рамках региональной программы "Обеспечение правопорядка и безопасности граждан в 2014 году"</t>
  </si>
  <si>
    <t>3.04.05.03. Приобретение для Министерства внутренних дел по Республике Коми и установка специального оборудования сегментов аппаратно-программного комплекса "Безопасный город" в рамках региональной программы "Обеспечение правопорядка и безопасности граждан в 2014 году"</t>
  </si>
  <si>
    <t>Обеспечение устойчивого функционирования сети видеонаблюдения на территории Республики Коми в рамках системы "Безопасный город"</t>
  </si>
  <si>
    <t>3.04.05.04. Обеспечение закупки товаров, работ, услуг в сфере информационно-коммуникационных технологий для государственных органов Республики Коми, органов исполнительной власти Республики Коми, подведомственным им учреждениям</t>
  </si>
  <si>
    <t>Организация централизованных закупок в сфере информационно-коммуникационных технологий для государственных органов Республики Коми, органов исполнительной власти Республики Коми, подведомственным им учреждениям</t>
  </si>
  <si>
    <t>3.04.05.05. Приобретение аппаратно - программного комплекса радиосвязи типа "MOTOTURBO" в рамках региональной программы "Обеспечение правопорядка и безопасности граждан в 2014 году"</t>
  </si>
  <si>
    <t>Основное мероприятие 3.04.06.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</si>
  <si>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 xml:space="preserve">Обеспечение возможности проведения совещаний с представителями органов исполнительной власти Республики Коми, органов местного самоуправления в Республике Коми посредством видеоконференцсвязи, исключая их личные поездки в г.Сыктывкар; выполнение Федерального Закона Российской Федерации от 05.04.2013 №44-ФЗ в части обеспечения трансляции в сети Интернет процедуры вскрытия конвертов в органах исполнительной власти Республики Коми и органах местного самоуправления в Республике Коми </t>
  </si>
  <si>
    <t>Итого по мероприятиям подпрограммы 3:</t>
  </si>
  <si>
    <t xml:space="preserve">Подпрограмма 4 "Безопасность в информационном обществе" </t>
  </si>
  <si>
    <t>Основное мероприятие 4.01.01. Развитие республиканской инфраструктуры удостоверения ключей проверки электронной подписи (инфраструктура цифрового доверия), обеспечивающей идентификацию субъектов информационного взаимодействия и целостность содержания электронного документа</t>
  </si>
  <si>
    <t>Создание республиканского пространства доверия, интегрированного в единое пространство доверия Российской Федерации, позволяющего населению  Республики Коми и организациям, осуществляющим деятельность на территории Республики Коми, иметь возможность доступа в информационное пространство Российской Федерации для участия в информационном взаимодействии</t>
  </si>
  <si>
    <t>Увеличение количества зарегистрированных пользователей в Центре сертификации "Крипто ПРО УЦ"</t>
  </si>
  <si>
    <t>4.01.01.02. Консультационная поддержка пользователей, владельцев сертификатов ключей проверки электронной подписи</t>
  </si>
  <si>
    <t>Обеспечение информационной поддержкой пользователей, владельцев сертификатов ключей проверки электронной подписи</t>
  </si>
  <si>
    <t>Основное мероприятие 4.01.02. Развитие центров сертификации и регистрации удостоверяющего центра Республики Коми</t>
  </si>
  <si>
    <t xml:space="preserve">4.01.02.01. Развитие центров сертификации и регистрации удостоверяющего центра Республики Коми
</t>
  </si>
  <si>
    <t xml:space="preserve">4.01.02.02. Информационная поддержка точек </t>
  </si>
  <si>
    <t>Основное мероприятие 4.01.03.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информационно-коммуникационной сети "Интернет"</t>
  </si>
  <si>
    <t>Создание республиканского пространства доверия, интегрированного в единое пространство доверия Российской Федерации, позволяющего населению Республики Коми и организациям, осуществляющим деятельность на территории Республики Коми, иметь возможность доступа в информационное пространство Российской Федерации для участия в информационном взаимодействии</t>
  </si>
  <si>
    <t>Актуализация реестра выданных сертификатов ключей проверки электронной подписи и ежедневная публикация списков отзыва сертификатов с периодичностью 12 часов</t>
  </si>
  <si>
    <t>4.01.03.02. Ежедневная публикация списков отзыва сертификатов с периодичностью 12 часов</t>
  </si>
  <si>
    <t>Ежедневная актуализация списков отзыва сертификатов ключей проверки электронной подписи</t>
  </si>
  <si>
    <t>Основное мероприятие 4.02.01. Создание республиканского центра мониторинга информационной безопасности</t>
  </si>
  <si>
    <t>Защита государственных информационных систем, ресурсов и технологий в Республике Коми от кибертеррористов, внутренних нарушителей и иных злоумышленников для снижения рисков потери или хищения информации ограниченного распространения</t>
  </si>
  <si>
    <t xml:space="preserve"> Предотвращение компьютерных атак, оперативное реагирование на инциденты информационной безопасности</t>
  </si>
  <si>
    <t>4.02.01.02. Создание центра мониторинга и управления безопасностью КИС с последующим расширением его функционала</t>
  </si>
  <si>
    <t>Проектирование, приобретение и внедрение программного комплекса мониторинга и управления безопасностью КИС</t>
  </si>
  <si>
    <t xml:space="preserve"> Наличие защищенной корпоративной вычислительной сети государственных органов Республики Коми и органов местного самоуправления в Республике Коми, обеспечивающей целостность, достоверность и конфиденциальность информации, используемой при решении задач электронного правительства в Республике Коми</t>
  </si>
  <si>
    <t>4.03.01.02. Консультирование органов государственной власти Республики Коми, подведомственных им учреждений по вопросам использования средств защиты информации</t>
  </si>
  <si>
    <t>Обеспечение консультационной поддержки органов государственной власти Республики Коми, подведомственных им учреждений по вопросам использования средств защиты информации</t>
  </si>
  <si>
    <t>Основное мероприятие 4.03.03. Модернизация защищенной вычислительной сети</t>
  </si>
  <si>
    <t>Приобретение, внедрение и сопровождение программно-аппаратного комплекса VIP Net Coordinator HW 2000</t>
  </si>
  <si>
    <t>4.03.03.02. Обеспечение доступа к защищенным информационным системам в Центре обработки данных</t>
  </si>
  <si>
    <t>Основное мероприятие 4.04.01. Разработка комплектов организационно-распорядительных документов по обеспечению безопасности персональных данных государственных информационных систем Республики Коми</t>
  </si>
  <si>
    <t>Выполнение требований законодательства Российской Федерации по безопасности обработки конфиденциальной информации, включая персональные данные, на рабочих местах в государственных органах Республики Коми и подведомственных им учреждениях</t>
  </si>
  <si>
    <t>4.04.01.02. Организационно-методическое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</t>
  </si>
  <si>
    <t>Обеспечение методического сопровождения проектной документации по обеспечению безопасности персональных данных государственных информационных систем Республики Коми</t>
  </si>
  <si>
    <t>Основное мероприятие 4.04.02. Проведение аттестации объектов информатизации в государственных информационных системах по требованиям безопасности информации</t>
  </si>
  <si>
    <t>4.04.02.02. Сертификация информационных систем на соответствие требованиям государственных информационных систем</t>
  </si>
  <si>
    <t>Основное мероприятие 4.04.03. Установка, настройка и сопровождение технических и программных средств защиты информации</t>
  </si>
  <si>
    <t>4.04.03.02. Консультирование и обучение пользователей программных средств защиты информации, подготовка необходимой документации</t>
  </si>
  <si>
    <t>Обеспечение консультационной поддержки пользователей программных средств защиты информации</t>
  </si>
  <si>
    <t>Итого по мероприятиям подпрограммы 4:</t>
  </si>
  <si>
    <t xml:space="preserve">Подпрограмма 5 "Инфраструктура пространственных данных" </t>
  </si>
  <si>
    <t>Основное мероприятие 5.01.02. Развитие республиканской системы формирования и представления пространственных данных</t>
  </si>
  <si>
    <t>Сокращение времени получения пространственных данных государственными органами Республики Коми, органами местного самоуправления в Республике Коми и населением Республики Коми за счет использования единой геоинформационной среды для предоставления пространственных данных и сервисов на их основе</t>
  </si>
  <si>
    <t>Покрытие территории Республики Коми сетью высокоточного позиционирования</t>
  </si>
  <si>
    <t>Основное мероприятие 5.02.02. Формирование условий для развития навигационно-информационной и мониторинговой инфраструктуры на базе технологии глобальных навигационных спутниковых систем (ГЛОНАСС)</t>
  </si>
  <si>
    <t>Итого по мероприятиям подпрограммы 5:</t>
  </si>
  <si>
    <t>Основное мероприятие 6.01.01.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</si>
  <si>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Обеспечение выполнения задач Программы, достижение значений показателей  (индикаторов) Программы, подпрограмм; эффективное использование всех видов ресурсов, направленных на развитие информационного общества и формирование электронного правительства в Республике Коми</t>
  </si>
  <si>
    <t>6.01.01.01.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</si>
  <si>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Основное мероприятие 6.01.02. Обеспечение выполнения функций оператора электронного правительства в Республике Коми</t>
  </si>
  <si>
    <t xml:space="preserve">Основное мероприятие 6.01.04. Обеспечение выполнения функций оператора безопасности электронного правительства в Республике Коми </t>
  </si>
  <si>
    <t>Основное мероприятие 6.01.05. Обеспечение функционирования регионального оператора инфраструктуры пространственных данных</t>
  </si>
  <si>
    <t>Основное мероприятие 6.01.06. Обеспечение функционирования Уполномоченного многофункционального центра Республики Коми</t>
  </si>
  <si>
    <t xml:space="preserve">6.01.06.01. Обеспечение функционирования Уполномоченного многофункционального центра Республики Коми
</t>
  </si>
  <si>
    <t>Основное мероприятие 6.02.01. Сопровождение и лицензионная поддержка информационных систем</t>
  </si>
  <si>
    <t>Выполнение требований по обеспечению лицензионной чистоты информационных систем на рабочих местах в органах государственной власти Республики Коми, в органах местного самоуправления в Республике Коми и подведомственных им учреждениях</t>
  </si>
  <si>
    <t>Основное мероприятие 6.02.02. Внедрение проектных и сервисных методов в управлении процессами внедрения информационно-коммуникационных технологий</t>
  </si>
  <si>
    <t>Повышение качества процессов внедрения и использования информационно-коммуникационных технологий в государственных органах Республики Коми и подведомственных им учреждениях</t>
  </si>
  <si>
    <t>6.02.02.01. Внедрение инструментов проектного управления и эксплуатации информационно-коммуникационной инфраструктуры для органов государственной власти Республики Коми и органов местного самоуправления в Республике Коми</t>
  </si>
  <si>
    <t>6.02.02.02. Проведение курсов, повышающих уровень знаний в области проектного управления для специалистов в высших учебных заведениях Республики Коми</t>
  </si>
  <si>
    <t>Итого по мероприятиям подпрограммы 6:</t>
  </si>
  <si>
    <t>Итого по государственной программе</t>
  </si>
  <si>
    <t>Основное мероприятие 1.02.01. Формирование информационно-технологического сообщества как группы организаций, обеспечивающих весь цикл внедрения и эксплуатации информационно - коммуникационных технологий</t>
  </si>
  <si>
    <t>Основное мероприятие 5.02.01. Обеспечение развития системы высокоточного спутникового позиционирования на основе глобальных навигационных спутниковых систем (ГЛОНАСС)  на территории Республики Коми</t>
  </si>
  <si>
    <t xml:space="preserve">Основное мероприятие 4.03.01. Развитие инфраструктуры защищенной сети в государственных органах Республики Коми и подведомственных им учреждениях, в органах местного самоуправления в Республике Коми </t>
  </si>
  <si>
    <t xml:space="preserve">2.02.05.01. Развитие сети Многофункциональных центров предоставления государственных и муниципальных услуг в Республике Коми 
</t>
  </si>
  <si>
    <t xml:space="preserve">6.02.01.01. Сопровождение и лицензионная поддержка информационных систем
</t>
  </si>
  <si>
    <t xml:space="preserve">Контрольное событие программы № 2 Проведено не менее 4 мероприятий в виде открытых лекций, семинаров по тематике информационного общества и информационных технологий
</t>
  </si>
  <si>
    <t xml:space="preserve">Контрольное событие программы № 3 Проведено не менее 4 мероприятий в виде открытых лекций, семинаров по тематике информационного общества и информационных технологий
</t>
  </si>
  <si>
    <t>Организация и обеспечение проведения не менее 2 мероприятий в год по тематике информационного общества и информационных технологий (лекции, семинары, участие в массовых мероприятиях)</t>
  </si>
  <si>
    <t>Формирование совместных лабораторий с высшими образовательными учреждениями Республики Коми</t>
  </si>
  <si>
    <t>Создание и развитие информационной системы "Открытый бюджет"</t>
  </si>
  <si>
    <t xml:space="preserve">Внедрение и развитие межведомственных автоматизированных реестровых систем органов исполнительной власти Республики Коми и органов местного самоуправления в Республике Коми </t>
  </si>
  <si>
    <t xml:space="preserve">Выпуск и размещение не менее 5 единиц в год видео- и аудиороликов по тематике информационного общества и информационных технологий; организация и проведение не менее 5 информационных презентаций-семинаров, семинаров по тематике информационного общества и информационных технологий в год </t>
  </si>
  <si>
    <t>Наличие методики проведения мониторингов доступности механизмов обращения граждан в государственные органы Республики Коми и органы местного самоуправления в Республике Коми, а также  доступности информации о деятельности государственных органов Республики Коми и органов местного самоуправления в Республике Коми</t>
  </si>
  <si>
    <t>Разработка дополнительного модуля ИАС "Лесные пожары"</t>
  </si>
  <si>
    <t xml:space="preserve">Повышение уровня информированности граждан о возможностях получения государственных и муниципальных услуг Республики Коми, повышение уровня компьютерной грамотности населения Республики Коми, повышение конкурентоспособности Республики Коми на рынке IT-услуг
</t>
  </si>
  <si>
    <t>Анализ потребности в обучении экспертов в области информационно-телекоммуникационных технологий, подготовка предложений для включения в ГП Республики Коми "Информационное общество" по мероприятию</t>
  </si>
  <si>
    <t>Подготовка предложений для включения в ГП Республики Коми "Информационное общество" по мероприятию</t>
  </si>
  <si>
    <t>Разработка дополнительного модуля РКИС ГУ Республики Коми</t>
  </si>
  <si>
    <t>Увеличение количества государственных учреждений Республики Коми, администраций муниципальных образований Республики Коми, работающих в СЭД</t>
  </si>
  <si>
    <t>Организация структурированных кабельных сетей в соответствии с производственной необходимостью</t>
  </si>
  <si>
    <t>Разработка и размещение информационных панелей, отображающих основные параметры социально-экономического развития Республики Коми, на Автоматизированном рабочем месте Главы Республики Коми (Автоматизированном рабочем месте руководителя органа исполнительной власти Республики Коми)</t>
  </si>
  <si>
    <t>Подготовка предложений для включения в ГП РК "Информационное общество" по мероприятию</t>
  </si>
  <si>
    <t xml:space="preserve">Контрольное событие программы № 1 Проведено не менее 2 мероприятий в виде открытых лекций, семинаров по тематике информационного общества и информационных технологий
</t>
  </si>
  <si>
    <t>Проведение мониторинга доступности механизмов обращения граждан в государственные органы Республики Коми и органы местного самоуправления в Республике Коми не менее 1 раза в год</t>
  </si>
  <si>
    <t>Организация научно-технических и научно-практических семинаров в районах Республики Коми в год</t>
  </si>
  <si>
    <t>Создание единого информационного пространства в Республике Коми посредством портальных и облачных технологий на базе информационной системы "Конструктор портальных решений"</t>
  </si>
  <si>
    <t>Организация БШПД не менее чем в 3-х муниципальных образованиях Республики Коми</t>
  </si>
  <si>
    <t>Закупка товаров, работ и услуг в рамках региональной программы по обеспечению правопорядка и безопасности граждан</t>
  </si>
  <si>
    <t xml:space="preserve">Закупка товаров, работ и услуг в рамках региональной программы по обеспечению правопорядка и безопасности граждан </t>
  </si>
  <si>
    <t>Обеспечение доступа к защищенным информационных системам в Центре обработки данных</t>
  </si>
  <si>
    <t>Наличие сертифицированных информационных систем согласно требованиям к государственным информационным системам</t>
  </si>
  <si>
    <t xml:space="preserve">Обеспечение работоспособности системы навигации GPS/ГЛОНАСС и GPRS
</t>
  </si>
  <si>
    <t xml:space="preserve">Контрольное событие программы № 7 Обучено 500 человек основам компьютерной грамотности </t>
  </si>
  <si>
    <t xml:space="preserve">Контрольное событие программы № 8 Обучено 500 человек основам компьютерной грамотности </t>
  </si>
  <si>
    <t xml:space="preserve">Контрольное событие программы № 9 Обучено 500 человек основам компьютерной грамотности </t>
  </si>
  <si>
    <t>Контрольное событие программы № 10 Мониторинг доступности механизмов обращения граждан в органы власти и органы местного самоуправления проведен</t>
  </si>
  <si>
    <t>Контрольное событие программы № 11 Мониторинг доступности механизмов обращения граждан в органы власти и органы местного самоуправления проведен</t>
  </si>
  <si>
    <t>Контрольное событие программы № 12 Мониторинг доступности механизмов обращения граждан в органы власти и органы местного самоуправления проведен</t>
  </si>
  <si>
    <t>Контрольное событие программы № 13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</si>
  <si>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14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</si>
  <si>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15 Организовано не менее 2-х совместных учебно-практических лабораторий с высшими образовательными учреждениями Республики Коми</t>
  </si>
  <si>
    <t xml:space="preserve">Контрольное событие программы №16 Утвержден порядок конкурсного отбора заявок на гранты в сфере ИКТ
</t>
  </si>
  <si>
    <t xml:space="preserve">Контрольное событие программы №17 Предоставлено не менее 5 грантов в сфере ИКТ </t>
  </si>
  <si>
    <t>Контрольное событие программы №18 Предоставлено не менее 5 грантов в сфере ИКТ в год</t>
  </si>
  <si>
    <t xml:space="preserve">Контрольное событие программы № 25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</si>
  <si>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26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</si>
  <si>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27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</si>
  <si>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>Контрольное событие программы № 29 ИС КАГУ внедрено в промышленную эксплуатацию на объектах 2 очереди</t>
  </si>
  <si>
    <t>Контрольное событие программы № 30 ИС КАГУ внедрено в промышленную эксплуатацию на объектах 3 очереди</t>
  </si>
  <si>
    <t>Контрольное событие программы № 41 Cистема "Открытый бюджет" внедрена (1 очередь)</t>
  </si>
  <si>
    <t>Контрольное событие программы № 42 Cистема "Открытый бюджет" внедрена (2 очередь)</t>
  </si>
  <si>
    <t>Контрольное событие программы № 43 Система учета и управления объектами государственной собственности Республики Коми и муниципальной собственности введена в промышленную эксплуатацию</t>
  </si>
  <si>
    <t>Контрольное событие программы № 44 Единая информационная система "Похозяйственная книга" внедрена в промышленную эксплуатацию в органах местного самоуправления в Республике Коми в соответствии с планом внедрения</t>
  </si>
  <si>
    <t>Контрольное событие программы № 45 Обеспечен процесс сплошной инвентаризации в АСУС</t>
  </si>
  <si>
    <t>Контрольное событие программы № 55 Заключен государственный контракт на выполнение работ на 2014 год</t>
  </si>
  <si>
    <t>Контрольное событие программы № 56 Заключен государственный контракт на выполнение работ на 2015 год</t>
  </si>
  <si>
    <t>Контрольное событие программы № 57 Заключен государственный контракт на выполнение работ на 2016 год</t>
  </si>
  <si>
    <t>Контрольное событие программы № 58 Разработано и размещено не менее 3  информационных панелей, отображающих основные параметры социально-экономического развития Республики Коми, на Автоматизированном рабочем месте Главы Республики Коми (Автоматизированном рабочем месте руководителя органа исполнительной власти Республики Коми)</t>
  </si>
  <si>
    <t>Контрольное событие программы № 59 Разработан регламент сбора и заполнения значений показателей информационных панелей, отображающих основные параметры социально-экономического развития Республики Коми, на Автоматизированном рабочем месте Главы Республики Коми (Автоматизированном рабочем месте руководителя органа исполнительной власти Республики Коми)</t>
  </si>
  <si>
    <t>Контрольное событие программы № 70 СЭД тиражирован во все администрации муниципальных образований Республики Коми</t>
  </si>
  <si>
    <t>Контрольное событие программы № 76 Региональная комплексная информационная система предоставления государственных услуг "Госуслуги – Республика Коми" модернизирована</t>
  </si>
  <si>
    <t xml:space="preserve">Контрольное событие программы № 79 Выполнены экспертизы по не менее 100 проектам административных регламентов и проектам о внесении изменений в административные регламенты </t>
  </si>
  <si>
    <t xml:space="preserve">Контрольное событие программы № 80 Выполнены экспертизы по не менее 150 паспортам государственных и муниципальных услуг, размещенных в государственной информационной системе Республики Коми "Реестр государственных и муниципальных услуг (функций) Республики Коми" </t>
  </si>
  <si>
    <t>Контрольное событие программы № 81 Выполнены не менее 25 проверок технологических карт межведомственного взаимодействия</t>
  </si>
  <si>
    <t>Выполнение 100% заявок органов исполнительной власти Республики Коми на проведение экспертиз:
- проектов административных регламентов предоставления государственных услуг;
-  паспортов государственных и муниципальных услуг, размещенных в государственной информационной системе Республики Коми «Реестр государственных и муниципальных услуг (функций) Республики Коми».
Выполнение 100% заявок органов исполнительной власти Республики Коми и органов местного самоуправления в Республике Коми на проведение экспертиз технологических карт межведомственного взаимодействия.</t>
  </si>
  <si>
    <t xml:space="preserve">Перевод 100% государственных и муниципальных услуг  Республики Коми в электронный вид по этапам, установленным нормативно-правовыми актами Республики Коми и Российской Федерации, в общем количестве государственных и муниципальных услуг Республики Коми, подлежащих переводу в электронный вид </t>
  </si>
  <si>
    <t xml:space="preserve">Наличие 100% электронных сервисов/методов, разработанных с целью подключения государственных органов Республики Коми, органов местного самоуправления в Республике Коми к электронным сервисам, в общем количестве электронных сервисов/методов, к которым должно быть осуществлено подключение в соответствии с нормативно-правовыми актами Республики Коми и Российской Федерации </t>
  </si>
  <si>
    <t>Контрольное событие программы № 82 50 подуслуг и 20 электронных сервисов/методов введены в опытно-промышленную эксплуатацию</t>
  </si>
  <si>
    <t>Контрольное событие программы № 83
20 подуслуг и 20 электронных сервисов/методов введены в опытно-промышленную эксплуатацию</t>
  </si>
  <si>
    <t>Контрольное событие программы № 84
20 подуслуг и 20 электронных сервисов/методов введены в опытно-промышленную эксплуатацию</t>
  </si>
  <si>
    <t>Оказание 100% государственных услуг органов исполнительной власти Республики Коми с учетом компенсации расходов в МФЦ и привлеченных организациях, в общем количестве оказанных посредством МФЦ и привлеченных организаций государственных услуг органов исполнительной власти Республики Коми</t>
  </si>
  <si>
    <t>Обучение не менее 55 человек на курсах повышения квалификации, подготовки и переподготовки специалистов, участвующих в процессе предоставления услуг по принципу "одного окна" в год</t>
  </si>
  <si>
    <t xml:space="preserve">Контрольное событие программы № 67 Информационная система "Конструктор портальных решений" внедрена.
</t>
  </si>
  <si>
    <t>Принятие и обработка ЦТО 100% обращений в общем количестве поступивших обращений. Среднее время ожидания ответа оператора - не более 1 минуты.</t>
  </si>
  <si>
    <t>Выполнение 100% мероприятий в соответствии с Планом внедрения 2-ой очереди ГАС "Управление"</t>
  </si>
  <si>
    <t>Выполнение 100% мероприятий в соответствии с Планом развития ИС «Рабочее место Главы»</t>
  </si>
  <si>
    <t>3.03.01.02. Методологическое обеспечение организации деятельности Координационного совета по информатизации и развитию связи в Республике Коми</t>
  </si>
  <si>
    <t>Организация 15 точек выдачи сертификатов ключей проверки электронной подписи на базе районных Многофункциональных центров</t>
  </si>
  <si>
    <t>Обеспечение информационно-консультационной поддержкой точек выдачи сертификатов ключей проверки электронной подписи на базе районных Многофункциональных центров</t>
  </si>
  <si>
    <t>Выполнение 100% мероприятий по разработке, внедрению и сопровождению системы защиты конфиденциальной информации в органах государственной власти Республики Коми и подведомственных им учреждениях</t>
  </si>
  <si>
    <t>Разработка 100% пакетов проектной документации от необходимых к проектированию в соответствии с утверждённым Планом</t>
  </si>
  <si>
    <t xml:space="preserve">Наличие 100% аттестованных объектов от необходимых к аттестации в государственных информационных системах </t>
  </si>
  <si>
    <t xml:space="preserve">Наличие 100% защищенных рабочих мест от необходимых к защите в органах государственной власти Республики Коми </t>
  </si>
  <si>
    <t>Обеспечение организационно-методологического сопровождения по формированию и актуализации инфраструктуры пространственных данных Республики Коми.</t>
  </si>
  <si>
    <t>Выполнение 100% мероприятий в общем числе запланированных по формированию и актуализации инфраструктуры пространственных данных Республики Коми.</t>
  </si>
  <si>
    <t>5.02.01.01. Обслуживание и развитие сети референтных станций на базе ГЛОНАСС в Республике Коми (спутниковая опорная межевая сеть)</t>
  </si>
  <si>
    <t xml:space="preserve">6.01.02.01. Обеспечение выполнения функций оператора электронного правительства в Республике Коми
</t>
  </si>
  <si>
    <r>
      <t xml:space="preserve">6.01.04.02. Организационно-методологическое обеспечение выполнения функций оператора безопасности электронного правительства в Республике Коми
</t>
    </r>
    <r>
      <rPr>
        <i/>
        <sz val="12"/>
        <rFont val="Times New Roman"/>
        <family val="1"/>
        <charset val="204"/>
      </rPr>
      <t/>
    </r>
  </si>
  <si>
    <t xml:space="preserve">6.01.05.01. Обеспечение функционирования регионального оператора инфраструктуры пространственных данных
</t>
  </si>
  <si>
    <r>
      <t xml:space="preserve">6.01.06.02. Организационно-методологическое обеспечение функционирования Уполномоченного многофункционального центра Республики Коми
</t>
    </r>
    <r>
      <rPr>
        <i/>
        <sz val="12"/>
        <rFont val="Times New Roman"/>
        <family val="1"/>
        <charset val="204"/>
      </rPr>
      <t/>
    </r>
  </si>
  <si>
    <t xml:space="preserve">31.12.2014
</t>
  </si>
  <si>
    <t xml:space="preserve">31.12.2015
</t>
  </si>
  <si>
    <t>2.01.04.02. Методологическое сопровождение проектов по информатизации в сфере культуры в Республике Коми</t>
  </si>
  <si>
    <t>Организация методологической поддержки ведения проектов в сфере информатизации культуры в Республике Коми</t>
  </si>
  <si>
    <t>2.01.08.02. Методологическое сопровождение проектов по информатизации в сфере физической культуры и спорта в Республике Коми</t>
  </si>
  <si>
    <t>Организация методологической поддержки ведения проектов в сфере информатизации физической культуры и спорта в Республике Коми</t>
  </si>
  <si>
    <t>2.01.09.02. Методологическое сопровождение проектов по информатизации в сфере управления сельским хозяйством в Республике Коми</t>
  </si>
  <si>
    <t>Организация методологической поддержки ведения проектов в сфере информатизации сельского хозяйства в Республике Коми</t>
  </si>
  <si>
    <t>2.01.12.02. Организационно-методологическое сопровождение разработки автоматизированной системы контроля и мониторинга объектов транспортной инфраструктуры</t>
  </si>
  <si>
    <t>Организация методологической поддержки разработки автоматизированной системы контроля и мониторинга объектов транспортной инфраструктуры</t>
  </si>
  <si>
    <t>2.01.13.02. Организационно-методологическое сопровождение продвижения информационно-туристического портала Республики Коми в сети Интернет</t>
  </si>
  <si>
    <t>Организация методологической поддержки продвижения информационно-туристического портала Республики Коми в сети Интернет</t>
  </si>
  <si>
    <t>Обучение основам компьютерной грамотности не менее 500 человек в год</t>
  </si>
  <si>
    <t>Тиражирование ГИС ЭО в общеобразовательных организациях</t>
  </si>
  <si>
    <t>Контрольное событие программы № 31 ГИС ЭО тиражирована в 100% представленных списками Министерства образования Республики Коми дошкольных образовательных организациях, общеобразовательных организациях, организациях дополнительного и среднепрофессионального образования  в рамках доведенных средств</t>
  </si>
  <si>
    <t>Контрольное событие программы № 32  ГИС ЭО тиражирована в 100% представленных списками Министерства образования Республики Коми дошкольных образовательных организациях, общеобразовательных организациях, организациях дополнительного и среднепрофессионального образования  в рамках доведенных средств</t>
  </si>
  <si>
    <t>Контрольное событие программы № 33  ГИС ЭО тиражирована в 100% представленных списками Министерства образования Республики Коми дошкольных образовательных организациях, общеобразовательных организациях, организациях дополнительного и среднепрофессионального образования  в рамках доведенных средств</t>
  </si>
  <si>
    <t xml:space="preserve">Разработка Концепции информатизации сферы физической культуры и спорта в Республике Коми на период 2014-2020 гг.
</t>
  </si>
  <si>
    <t>Контрольное событие программы № 46 Автоматизированная система поддержки принятия решений в сфере государственного и муниципального управления жилищно-коммунальным комплексом Республики Коми введена в опытно-промышленную эксплуатацию в 4 пилотных районах </t>
  </si>
  <si>
    <t>1.02.03.02. Организационно-методологическое сопровождение процесса подготовки и обучения экспертов в области информационно-телекоммуникационных технологий</t>
  </si>
  <si>
    <t>Наличие организационно-методологического обеспечения процесса подготовки и обучения экспертов в области информационно-телекоммуникационных технологий</t>
  </si>
  <si>
    <t xml:space="preserve">Введение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 в опытно-промышленную эксплуатацию </t>
  </si>
  <si>
    <t>3.01.01.02. Методологическое обеспечение процесса сохранения существующей сети почтовых отделений</t>
  </si>
  <si>
    <t xml:space="preserve">Наличие методологического обеспечения процесса сохранения существующей сети почтовых отделений </t>
  </si>
  <si>
    <t>Наличие методологической поддержки организации деятельности Координационного совета по информатизации и развитию связи в Республике Коми</t>
  </si>
  <si>
    <t>Наличие методологической поддержки создания и развития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</si>
  <si>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>Наличие организационно-методологического сопровождения процесса обслуживания и развития сети референтных станций на базе ГЛОНАСС в Республике Коми (спутниковая опорная межевая сеть)</t>
  </si>
  <si>
    <r>
      <t xml:space="preserve">Наличие организационно-методологического сопровождения выполнения функций оператора безопасности электронного правительства в Республике Коми
</t>
    </r>
    <r>
      <rPr>
        <i/>
        <sz val="12"/>
        <rFont val="Times New Roman"/>
        <family val="1"/>
        <charset val="204"/>
      </rPr>
      <t/>
    </r>
  </si>
  <si>
    <r>
      <t xml:space="preserve">Наличие организационно-методологического сопровождения процесса функционирования регионального оператора инфраструктуры пространственных данных
</t>
    </r>
    <r>
      <rPr>
        <i/>
        <sz val="12"/>
        <rFont val="Times New Roman"/>
        <family val="1"/>
        <charset val="204"/>
      </rPr>
      <t/>
    </r>
  </si>
  <si>
    <r>
      <t xml:space="preserve">6.01.05.02. Организационно-методологическое обеспечение процесса функционирования регионального оператора инфраструктуры пространственных данных
</t>
    </r>
    <r>
      <rPr>
        <i/>
        <sz val="12"/>
        <rFont val="Times New Roman"/>
        <family val="1"/>
        <charset val="204"/>
      </rPr>
      <t/>
    </r>
  </si>
  <si>
    <r>
      <t xml:space="preserve">Наличие организационно-методологического сопровождения процесса функционирования Уполномоченного многофункционального центра Республики Коми
</t>
    </r>
    <r>
      <rPr>
        <i/>
        <sz val="12"/>
        <rFont val="Times New Roman"/>
        <family val="1"/>
        <charset val="204"/>
      </rPr>
      <t/>
    </r>
  </si>
  <si>
    <t>Организация взаимодействия между федеральными органами исполнительной власти, региональными органами исполнительной власти Республики Коми и органами местного самоуправления в Республике Коми, муниципальными МФЦ в целях организации процесса оказания услуг по принципу "одного окна" посредством МФЦ на территории Республики Коми</t>
  </si>
  <si>
    <t xml:space="preserve">Внедрение и тиражирование региональной информационно-аналитической медицинской системы здравоохранения Республики Коми </t>
  </si>
  <si>
    <t>Функционирование круглосуточной технической поддержки пользователей</t>
  </si>
  <si>
    <t xml:space="preserve">Контрольное событие программы № 68 Разработаны сайты ОИВ и их подведомственных учреждений на основе единой платформы в рамках задач 2015 года
</t>
  </si>
  <si>
    <t xml:space="preserve">Контрольное событие программы № 69 Разработаны сайты ОИВ и их подведомственных учреждений на основе единой платформы в рамках задач 2016 года
</t>
  </si>
  <si>
    <r>
      <t xml:space="preserve">Контрольное событие программы № 71 СЭД тиражирован на 100% объектов в рамках задач 2015 года
</t>
    </r>
    <r>
      <rPr>
        <i/>
        <sz val="26"/>
        <color rgb="FFFF0000"/>
        <rFont val="Times New Roman"/>
        <family val="1"/>
        <charset val="204"/>
      </rPr>
      <t/>
    </r>
  </si>
  <si>
    <t xml:space="preserve">Контрольное событие программы № 72 СЭД тиражирован на 100 % объектов в рамках задач 2016 года
</t>
  </si>
  <si>
    <t>Контрольное событие программы № 78 Разработан дополнительный модуль РКИС ГУ Республики Коми в рамках задач 2016 года</t>
  </si>
  <si>
    <t>Контрольное событие программы № 77 Разработан дополнительный модуль РКИС ГУ Республики Коми в рамках задач 2015 года</t>
  </si>
  <si>
    <t>Наличие не менее 60 единиц транспорта, оснащенных бортовыми терминалами (тахографами)</t>
  </si>
  <si>
    <t>Контрольное событие программы № 40 Утверждено техническое задание на разработку системы "Открытый бюджет"</t>
  </si>
  <si>
    <t>Ввод в эксплуатацию группы нежилых помещений второго этажа общественного здания по адресу: г.Сыктывкар, Ухтинское шоссе, д.2, для создания центра обработки вызова Системы 112</t>
  </si>
  <si>
    <t>6.01.01.02. Координация взаимодействия органов исполнительной власти Республики Коми и органов местного самоуправления по реализации Программы</t>
  </si>
  <si>
    <t xml:space="preserve">6.01.02.02. Обеспечение функционирования круглосуточной технической поддержки пользователей
</t>
  </si>
  <si>
    <t>Контрольное событие программы № 34 Подключены и настроены все АРМ к региональной информационно-аналитической медицинской системе здравоохранения Республики Коми в соответствии с планом на 2014 год</t>
  </si>
  <si>
    <t>Контрольное событие программы № 35 Подключены и настроены все АРМ к региональной информационно-аналитической медицинской системе здравоохранения Республики Коми в соответствии с планом на 2015 год</t>
  </si>
  <si>
    <r>
      <t>Повышение качества государственного управления путем внедрения информационно-коммуникационных технологий в управлении финансами</t>
    </r>
    <r>
      <rPr>
        <b/>
        <sz val="12"/>
        <color rgb="FFFF0000"/>
        <rFont val="Times New Roman"/>
        <family val="1"/>
        <charset val="204"/>
      </rPr>
      <t xml:space="preserve"> </t>
    </r>
  </si>
  <si>
    <t>Контрольное событие программы № 50 Реализованы все мероприятия согласно Концепции информатизации сферы физической культуры и спорта в Республике Коми на период 2014-2020 гг. в рамках задач 2015 года</t>
  </si>
  <si>
    <t>Контрольное событие программы № 51 Реализованы все мероприятия согласно Концепции информатизации сферы физической культуры и спорта в Республике Коми на период 2014-2020 гг. в рамках задач 2016 года</t>
  </si>
  <si>
    <t xml:space="preserve">2.01.11.01. Внедрение информационно-коммуникационных технологий в сфере регулирования экономических отношений </t>
  </si>
  <si>
    <t>Контрольное событие программы № 73 Переведены в электронный вид 5 % архивов от общего числа единиц хранения (17 000 единиц хранения) в 2014 году</t>
  </si>
  <si>
    <t>Контрольное событие программы № 74 
Переведены в электронный вид 5 % архивов от общего числа единиц хранения (17 000 единиц хранения) в 2015 году</t>
  </si>
  <si>
    <t>Контрольное событие программы № 75 
Переведены в электронный вид 5 % архивов от общего числа единиц хранения (17 000 единиц хранения) в 2016 году</t>
  </si>
  <si>
    <t>Основное мероприятие 5.01.04. Обеспечение решения экологических задач, задач территориального, инфраструктурного и промышленного развития с использованием материалов космической съемки</t>
  </si>
  <si>
    <t>Контрольное событие программы № 19 Разработан план подготовки и обучения экспертов в области информационно-телекоммуникационных технологий на 2015 год</t>
  </si>
  <si>
    <t>Контрольное событие программы № 20 Разработан план подготовки и обучения экспертов в области информационно-телекоммуникационных технологий на 2016 год</t>
  </si>
  <si>
    <t xml:space="preserve">Контрольное событие программы № 21 Разработан план подготовки и обучения экспертов в области информационно-телекоммуникационных технологий на 2017 год
</t>
  </si>
  <si>
    <t xml:space="preserve">Контрольное событие программы № 36 Подключены и настроены все АРМ к региональной информационно-аналитической медицинской системе здравоохранения Республики Коми в соответствии с планом на 2016 год </t>
  </si>
  <si>
    <t xml:space="preserve">Контрольное событие программы № 37 Подготовлен план внедрения информационно-коммуникационных технологий в сфере культуры в Республике Коми на 2015 год  </t>
  </si>
  <si>
    <t xml:space="preserve">Контрольное событие программы № 38 Подготовлен план внедрения информационно-коммуникационных технологий в сфере культуры в Республике Коми на 2016 год  </t>
  </si>
  <si>
    <t xml:space="preserve">Контрольное событие программы № 39 Подготовлен план внедрения информационно-коммуникационных технологий в сфере культуры в Республике Коми на 2017 год  </t>
  </si>
  <si>
    <t xml:space="preserve">Контрольное событие программы № 47 Подготовлен план внедрения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 на 2016 год </t>
  </si>
  <si>
    <t xml:space="preserve">Контрольное событие программы № 48 Подготовлен план внедрения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 на 2017 год </t>
  </si>
  <si>
    <t xml:space="preserve">Контрольное событие программы № 52 Подготовлен план внедрения автоматизированной системы поддержки принятия решений в сфере сельского хозяйства в Республике Коми на 2015 год </t>
  </si>
  <si>
    <t xml:space="preserve">Контрольное событие программы № 53 Подготовлен план внедрения автоматизированной системы поддержки принятия решений в сфере сельского хозяйства в Республике Коми на 2016 год </t>
  </si>
  <si>
    <t xml:space="preserve">Контрольное событие программы № 54 Подготовлен план внедрения автоматизированной системы поддержки принятия решений в сфере сельского хозяйства в Республике Коми на 2017 год </t>
  </si>
  <si>
    <t>Контрольное событие программы № 61 Подготовлен план разработки автоматизированной системы контроля и мониторинга объектов транспортной инфраструктуры на 2015 год</t>
  </si>
  <si>
    <t>Контрольное событие программы № 62 Подготовлен план разработки автоматизированной системы контроля и мониторинга объектов транспортной инфраструктуры на 2016 год</t>
  </si>
  <si>
    <t>Контрольное событие программы № 63 Подготовлен план разработки автоматизированной системы контроля и мониторинга объектов транспортной инфраструктуры на 2017 год</t>
  </si>
  <si>
    <t>Контрольное событие программы № 64 Подготовлен план продвижения информационно-туристического портала Республики Коми в сети Интернет на 2015 год</t>
  </si>
  <si>
    <t>Контрольное событие программы № 65 Подготовлен план продвижения информационно-туристического портала Республики Коми в сети Интернет на 2016 год</t>
  </si>
  <si>
    <t>Контрольное событие программы № 66 Подготовлен план продвижения информационно-туристического портала Республики Коми в сети Интернет на 2017 год</t>
  </si>
  <si>
    <t>Выполнение функций Комитетом информатизации и связи Республики Коми в рамках реализации Программы</t>
  </si>
  <si>
    <t xml:space="preserve">Установка и развертывание оборудования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  </t>
  </si>
  <si>
    <t>Автоматизация процессов внедрения и использования информационно-коммуникационных технологий в государственных органах Республики Коми и подведомственных им учреждениях</t>
  </si>
  <si>
    <t xml:space="preserve">Определение стратегии развития информатизации и связи в Республике Коми </t>
  </si>
  <si>
    <t xml:space="preserve">Наличие информационного сопровождения  процесса сохранения существующей сети почтовых отделений </t>
  </si>
  <si>
    <t>Координация деятельности органов исполнительной власти Республики Коми и органов местного самоуправления в Республике Коми по реализации Программы</t>
  </si>
  <si>
    <t>Выполнение функций ГАУ РК "ЦИТ" в рамках реализации мероприятия Программы</t>
  </si>
  <si>
    <t>Выполнение функций ГБУ РК "ЦБИ" в рамках реализации мероприятия Программы</t>
  </si>
  <si>
    <t>Выполнение функций ГБУ РК "ТФИ" в рамках реализации мероприятия Программы</t>
  </si>
  <si>
    <t>Выполнение заявок пользователей сопровождаемых информационных систем</t>
  </si>
  <si>
    <t>Повышение уровня знаний в области проектного управления для государственных органов Республики Коми и органов местного самоуправления в Республике Коми</t>
  </si>
  <si>
    <t>Контрольное событие программы № 60 Подготовлен план внедрения информационно-коммуникационных технологий в сфере регулирования экономических отношений на 2017 год</t>
  </si>
  <si>
    <t xml:space="preserve">Выполнение заявок государственных органов Республики Коми и подведомственных им учреждений на обеспечение лицензионной чистоты и сопровождение информационных систем </t>
  </si>
  <si>
    <r>
      <t>Подготовка предложений для включения в государственную программу Республики Коми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"Информационное общество" по мероприятию</t>
    </r>
  </si>
  <si>
    <t>Подготовка предложений для включения в государственную программу Республики Коми "Информационное общество" по мероприятию</t>
  </si>
  <si>
    <t>Контрольное событие программы № 22 Выполнено не менее 3 прикладных научно - исследовательских работ в сфере ИКТ в 2014 году</t>
  </si>
  <si>
    <t xml:space="preserve">Контрольное событие программы № 23 Выполнено не менее 3 прикладных научно - исследовательских работ в сфере ИКТ в 2015 году
</t>
  </si>
  <si>
    <t xml:space="preserve">Контрольное событие программы № 24 Выполнено не менее 3 прикладных научно - исследовательских работ в сфере ИКТ в 2016 году
</t>
  </si>
  <si>
    <t>3.01.01.01. Разработка и издание информационных памяток, содержащих информацию о нормативно-правовых актах в области почтовой связи</t>
  </si>
  <si>
    <t xml:space="preserve">3.04.01.01. Обеспечение доступности телекоммуникационной инфраструктуры электронного правительства на территории Республики Коми
</t>
  </si>
  <si>
    <r>
      <t xml:space="preserve">6.01.04.01. Обеспечение выполнения функций оператора безопасности электронного правительства в Республике Коми
</t>
    </r>
    <r>
      <rPr>
        <i/>
        <sz val="12"/>
        <rFont val="Times New Roman"/>
        <family val="1"/>
        <charset val="204"/>
      </rPr>
      <t/>
    </r>
  </si>
  <si>
    <t>3.02.01.01. Создание благоприятных условий для социально - незащищенных категорий населения при переходе на цифровое телевидение</t>
  </si>
  <si>
    <t xml:space="preserve">3.04.02.01. Обеспечение соответствия вычислительных мощностей инфраструктуры электронного правительства в Республике Коми текущим потребностям
</t>
  </si>
  <si>
    <t xml:space="preserve">3.04.03.01. Обеспечение соответствия технических элементов инфраструктуры электронного правительства в Республике Коми текущим потребностям
</t>
  </si>
  <si>
    <t>3.04.06.01.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</si>
  <si>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>3.04.06.02. Методологическое сопровождение создания и развития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</si>
  <si>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 xml:space="preserve">4.01.01.01. Развитие республиканской инфраструктуры удостоверения ключей проверки электронной подписи </t>
  </si>
  <si>
    <t xml:space="preserve">4.01.03.01.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информационно-коммуникационной сети "Интернет"
</t>
  </si>
  <si>
    <t xml:space="preserve">4.02.01.01. Создание республиканского центра мониторинга информационной безопасности
</t>
  </si>
  <si>
    <t>4.03.01.01. Приобретение, разработка, внедрение и сопровождение систем защиты конфиденциальной информации в органах государственной власти Республики Коми, подведомственных им учреждениях</t>
  </si>
  <si>
    <t>4.03.03.01. Разработка, внедрение и сопровождение системы защиты конфиденциальной информации Центра обработки данных</t>
  </si>
  <si>
    <t>4.04.01.01. Разработка проектной документации в части обеспечения ИБ для вновь проектируемых ИС ЭП</t>
  </si>
  <si>
    <t xml:space="preserve">4.04.02.01. Проведение аттестации объектов информатизации в государственных информационных системах по требованиям безопасности информации
</t>
  </si>
  <si>
    <t>4.04.03.01. Обеспечение защиты информации на рабочих местах сотрудников, участвующих в информационном взаимодействии</t>
  </si>
  <si>
    <t xml:space="preserve">5.01.02.01. Развитие республиканской системы формирования и представления пространственных данных
</t>
  </si>
  <si>
    <t>5.01.02.02. Организационно-методологическое сопровождение по формированию и актуализации инфраструктуры пространственных данных Республики Коми</t>
  </si>
  <si>
    <t>5.01.04.01. Разработка Схемы размещения, использования и охраны охотничьих угодий на территории Республики Коми</t>
  </si>
  <si>
    <t>5.01.04.02. Создание и ввод в эксплуатацию функциональной целевой системы мониторинга недропользования в части общераспространенных полезных ископаемых</t>
  </si>
  <si>
    <t>5.02.01.02. Организационно-методологическое сопровождение процесса обслуживания и развития сети референтных станций на базе ГЛОНАСС в Республике Коми (спутниковая опорная межевая сеть)</t>
  </si>
  <si>
    <t>5.02.02.01. Техническое сопровождение и обслуживание системы навигации GPS/ГЛОНАСС и GPRS</t>
  </si>
  <si>
    <t>5.02.02.02. Оснащение ведомственного автотранспорта автохозяйства Главы Республики Коми и Правительства Республики Коми бортовыми терминалами на базе системы ГЛОНАСС</t>
  </si>
  <si>
    <t>1.01.01.01. Подготовка методических материалов и курсов для информирования населения</t>
  </si>
  <si>
    <t>1.01.01.02. Разработка и тиражирование наглядных материалов, текстовых и графических материалов, сувенирной продукции</t>
  </si>
  <si>
    <t>1.01.01.03. Подготовка и размещение информации в СМИ (печатные СМИ, электронные СМИ и интернет, радио и телевидение)</t>
  </si>
  <si>
    <t>1.01.01.04. Проведение открытых лекций, семинаров, участие в массовых мероприятиях</t>
  </si>
  <si>
    <t>1.01.02.01.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</si>
  <si>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1.01.02.02. Оказание методической помощи (консультаций) по наполнению сетевых ресурсов</t>
  </si>
  <si>
    <t>1.01.03.01. Организационные мероприятия по обеспечению деятельности волонтерских центров (организационные расходы)</t>
  </si>
  <si>
    <t xml:space="preserve">1.01.03.02. Организация обучающих мероприятий, в том числе курсов повышения квалификации </t>
  </si>
  <si>
    <t>1.01.04.01. Организация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</si>
  <si>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>1.02.01.01. Формирование организационных структур ИКТ-кластера</t>
  </si>
  <si>
    <t>1.02.02.01. Предоставление грантов в сфере ИКТ</t>
  </si>
  <si>
    <t>1.03.01.01. НИОКР "Моделирование социально-экономического развития территорий"</t>
  </si>
  <si>
    <t>1.03.01.02. НИОКР "Исследование и анализ сложных (комплексных) сетей"</t>
  </si>
  <si>
    <t>1.03.02.01. Организация и (или) участие в региональных, межрегиональных, российских и международных мероприятиях в области информационно-коммуникационных технологий</t>
  </si>
  <si>
    <t xml:space="preserve">2.01.01.01. Разработка автоматизированной системы по комплексной автоматизации государственного учреждения (далее - ИС КАГУ) </t>
  </si>
  <si>
    <t xml:space="preserve">2.01.01.02. Внедрение и развитие прочих специализированных ведомственных и межведомственных информационных систем ОГВ Республики Коми, ОМСУ в Республике Коми и подведомственных учреждений </t>
  </si>
  <si>
    <t>2.01.02.01. Реализация мероприятий в сфере информатизации образования в Республике Коми</t>
  </si>
  <si>
    <t>2.01.03.01. Реализация мероприятий в соответствии с Концепцией информатизации здравоохранения Республики Коми</t>
  </si>
  <si>
    <t>2.01.04.01. Внедрение информационно-коммуникационных технологий в сфере культуры в Республике Коми</t>
  </si>
  <si>
    <t>2.01.05.01. Внедрение информационно-коммуникационных технологий в сфере управления финансами</t>
  </si>
  <si>
    <t>2.01.06.01. Развитие автоматизированной системы учета и управления объектами государственной собственности Республики Коми и муниципальной собственности, управление лесным фондом, объектами культуры, спорта и т.п.</t>
  </si>
  <si>
    <t xml:space="preserve">2.01.06.02. Внедрение единой информационной системы для ОМСУ "Похозяйственная книга" </t>
  </si>
  <si>
    <t>2.01.07.01. Внедрение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</t>
  </si>
  <si>
    <t>2.01.10.01. Внедрение информационно-коммуникационных технологий в управлении природными ресурсами (прогноз погоды)</t>
  </si>
  <si>
    <t xml:space="preserve">2.01.11.02. Разработка и внедрение автоматизированной информационной системы формирования, мониторинга и анализа хода реализации государственных и муниципальных программ в Республике Коми </t>
  </si>
  <si>
    <t>2.01.14.01. Внедрение портальных и облачных технологий для реализации задач в ведомственных и межведомственных информационных системах ОГВ Республики Коми, ОМСУ в Республике Коми и подведомственных учреждений</t>
  </si>
  <si>
    <t>2.01.15.01. Развитие системы межведомственного электронного документооборота (далее - СЭД), доработка и тиражирование СЭД в государственных учреждениях Республики Коми</t>
  </si>
  <si>
    <t>2.01.16.02. Методологическое обеспечение процесса перевода архивов в электронный вид</t>
  </si>
  <si>
    <t>2.02.01.01. Модернизация РКИС ГУ РК в части обеспечения соответствия изменениям, вносимым в федеральное законодательство и соответствующие нормативные и методологические документы</t>
  </si>
  <si>
    <t>2.02.02.01. Методологическое и организационное обеспечение перевода услуг в электронный вид и организации межведомственного взаимодействия</t>
  </si>
  <si>
    <t>2.02.03.01. Организация технологического перевода в электронный вид процессов предоставления государственных и муниципальных услуг в Республике Коми</t>
  </si>
  <si>
    <t xml:space="preserve">2.02.03.02. Разработка электронных сервисов с целью подключения государственных органов Республики Коми, органов местного самоуправления в Республике Коми </t>
  </si>
  <si>
    <t>2.02.05.02. Создание и развитие сети многофункциональных центров и привлеченных организаций, обеспечивающих предоставление государственных и муниципальных услуг  в Республике Коми</t>
  </si>
  <si>
    <t>2.02.06.01. Обеспечение доступа к государственным услугам Республики Коми с использованием универсальной электронной карты</t>
  </si>
  <si>
    <t xml:space="preserve">2.02.07.02. Консультирование по вопросам предоставления государственных и муниципальных услуг </t>
  </si>
  <si>
    <t xml:space="preserve">2.03.01.01. Разработка и внедрение системы обеспечения вызова экстренных оперативных служб через единый номер «112» </t>
  </si>
  <si>
    <t xml:space="preserve">2.03.04.01.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
</t>
  </si>
  <si>
    <t>2.03.04.02. Обеспечение функционирования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</si>
  <si>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>2.04.02.02. Внедрение и развитие специализированной системы информационной поддержки руководящего состава Республики Коми "Рабочее место Главы"</t>
  </si>
  <si>
    <t>6.02.01.02. Сервисное обслуживание пользователей сопровождаемых информационных систем</t>
  </si>
  <si>
    <t>Основное мероприятие 2.02.04. Организация межведомственного взаимодействия, разработка и обеспечение соответствия ведомственных информационных систем процессу межведомственного электронного взаимодействия</t>
  </si>
  <si>
    <t>2.02.04.01. Разработка и внедрение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виде, и обеспечение соответствия существующих ведомственных информационных систем процессу межведомственного электронного взаимодействия и предоставления государственных услуг в электронном виде</t>
  </si>
  <si>
    <t>Основное мероприятие 2.03.03. Внедрение специализированных информационных систем в области жизнеобеспечения и обеспечения безопасности жизнедеятельности населения</t>
  </si>
  <si>
    <t>Основное мероприятие 5.01.03. Развитие распределенной системы сетевых сервисов, обеспечивающих эффективную и оперативную работу с пространственными данными</t>
  </si>
  <si>
    <t xml:space="preserve">Реализация возможности межведомственного электронного взаимодействия при предоставлении государственных и муниципальных услуг Республики Коми </t>
  </si>
  <si>
    <t>Внедрение информационно-аналитических систем и систем, обеспечивающих подготовку и принятие решений в государственных органах Республики Коми и органах местного самоуправления в Республике Коми</t>
  </si>
  <si>
    <t>Покрытие территории инвестиционной активности Республики Коми сетью высокоточного позиционирования</t>
  </si>
  <si>
    <t xml:space="preserve">2.03.03.01. Реализация мероприятий в  соответствии с концепцией информатизации сферы обеспечения безопасности жизнедеятельности населения в Республике Коми, за исключением системы обеспечения вызова экстренных оперативных служб через единый номер «112»
</t>
  </si>
  <si>
    <t>2.03.03.02. Выполнение работ по реконструкции региональной автоматизированной системы центрального оповещения</t>
  </si>
  <si>
    <t>Контрольное событие программы № 49 Концепция информатизации сферы физической культуры и спорта в Республике Коми на период 2014-2020 гг. разработана</t>
  </si>
  <si>
    <t>Организация методологической поддержки процесса разработки и внедрения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</t>
  </si>
  <si>
    <t>Контрольное событие программы № 85 Подготовлен план внедрения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виде, и обеспечения соответствия существующих ведомственных информационных систем процессу межведомственного электронного взаимодействия и предоставления государственных услуг в электронном виде на 2015 год</t>
  </si>
  <si>
    <t>Контрольное событие программы № 86 
Подготовлен план внедрения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виде, и обеспечения соответствия существующих ведомственных информационных систем процессу межведомственного электронного взаимодействия и предоставления государственных услуг в электронном виде на 2016 год</t>
  </si>
  <si>
    <t xml:space="preserve">Контрольное событие программы № 87
Подготовлен план внедрения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виде, и обеспечения соответствия существующих ведомственных информационных систем процессу межведомственного электронного взаимодействия и предоставления государственных услуг в электронном виде на 2017 год
</t>
  </si>
  <si>
    <t xml:space="preserve">Контрольное событие программы № 88 Открыты 10 МФЦ в течение 2014 года </t>
  </si>
  <si>
    <t xml:space="preserve">Контрольное событие программы № 89 Открыты 7 МФЦ в течение 2015 года </t>
  </si>
  <si>
    <t xml:space="preserve">Контрольное событие программы № 90
90% граждан имеют доступ к получению государственных и муниципальных услуг по принципу "одного окна" по месту пребывания, в том числе в многофункциональных центрах предоставления государственных услуг
</t>
  </si>
  <si>
    <t>Контрольное событие программы № 91 10 000 универсальных электронных карт выданы гражданам, проживающим на территории Республики Коми</t>
  </si>
  <si>
    <t>Контрольное событие программы № 92 15 000 универсальных электронных карт выданы гражданам, проживающим на территории Республики Коми</t>
  </si>
  <si>
    <t>Контрольное событие программы № 93 20 000 универсальных электронных карт выданы гражданам, проживающим на территории Республики Коми</t>
  </si>
  <si>
    <t>Контрольное событие программы № 94 Принято не менее 50 000 обращений в год в ЦТО</t>
  </si>
  <si>
    <t>Контрольное событие программы № 95 Принято не менее 60 000 обращений в год в ЦТО</t>
  </si>
  <si>
    <t>Контрольное событие программы № 96 Принято не менее 65 000 обращений в год в ЦТО</t>
  </si>
  <si>
    <t>Контрольное событие программы № 97 
Введен в эксплуатацию основной центр обработки вызовов Системы - 112</t>
  </si>
  <si>
    <t>Контрольное событие программы № 98  
Введен в эксплуатацию учебный программно-технический комплекс Системы - 112</t>
  </si>
  <si>
    <t>Контрольное событие программы № 99
Введены в эксплуатацию дополнительные  центры обработки вызовов Системы - 112</t>
  </si>
  <si>
    <t>Контрольное событие программы № 100  Реконструкция группы нежилых помещений второго этажа общественного здания по адресу: г.Сыктывкар, Ухтинское шоссе, д.2, для создания центра обработки вызова Системы 112 завершена</t>
  </si>
  <si>
    <t>Контрольное событие программы № 101 Строительно-монтажные работы и техническое оснащение центра обработки вызовов Системы - 112 в г. Ухта согласно проектно-сметной документации завершены</t>
  </si>
  <si>
    <t xml:space="preserve">Контрольное событие программы № 102
Строительно-монтажные работы и техническое оснащение центра обработки вызовов Системы - 112 в г. Ухта согласно проектно-сметной документации завершены </t>
  </si>
  <si>
    <t>Контрольное событие программы № 103 Подготовлен план реализации мероприятий Концепции информатизации сферы обеспечения безопасности жизнедеятельности населения в Республике Коми на 2015 год</t>
  </si>
  <si>
    <t>Контрольное событие программы № 104 Подготовлен план реализации мероприятий Концепции информатизации сферы обеспечения безопасности жизнедеятельности населения в Республике Коми на 2016 год</t>
  </si>
  <si>
    <t>Контрольное событие программы № 105 
Подготовлен план реализации мероприятий Концепции информатизации сферы обеспечения безопасности жизнедеятельности населения в Республике Коми на 2017 год</t>
  </si>
  <si>
    <t>Контрольное событие программы № 106 Мобильное приложения ИАС "Лесные пожары в РК" разработано</t>
  </si>
  <si>
    <t>Контрольное событие программы № 107 Выполнено 100% мероприятий по развитию ИАС "Лесные пожары в РК" в рамках задач 2015 года</t>
  </si>
  <si>
    <t>Контрольное событие программы № 108 Выполнено 100% мероприятий по развитию ИАС "Лесные пожары в РК" в рамках задач 2016 года</t>
  </si>
  <si>
    <t>Контрольное событие программы № 109 Государственная автоматизированная система "Управление" внедрена на объектах первой очереди</t>
  </si>
  <si>
    <t>Контрольное событие программы № 110 Государственная автоматизированная система "Управление" внедрена на объектах второй очереди</t>
  </si>
  <si>
    <t xml:space="preserve">Контрольное событие программы № 111 Государственная автоматизированной система "Управление" внедрена в 100% государственных органов Республики Коми и органов местного самоуправления в Республике Коми для принятия управленческих решений
</t>
  </si>
  <si>
    <t>Контрольное событие программы № 112 Зарегистрировано не менее 500 пользователей Единой информационно-аналитической системы Республики Коми на конец 2014 года</t>
  </si>
  <si>
    <t>Контрольное событие программы № 113 Зарегистрировано не менее 550 пользователей Единой информационно-аналитической системы Республики Коми на 30.06.2015 года</t>
  </si>
  <si>
    <t>Контрольное событие программы № 114 Зарегистрировано не менее 600 пользователей Единой информационно-аналитической системы Республики Коми на 30.06.2016 года</t>
  </si>
  <si>
    <t>Контрольное событие программы № 115 Выпущено не менее 3 тематических дайджестов по актуальным тематикам в 2014 году</t>
  </si>
  <si>
    <t>Контрольное событие программы № 116 Выпущено не менее 3 тематических дайджестов по актуальным тематикам в 2015 году</t>
  </si>
  <si>
    <t>Контрольное событие программы № 117 Выпущено не менее 3 тематических дайджестов по актуальным тематикам в 2016 году</t>
  </si>
  <si>
    <t>Контрольное событие программы № 118 Подготовлен план по сохранению существующей сети почтовых отделений на 2014 год</t>
  </si>
  <si>
    <t>Контрольное событие программы № 119 Подготовлен план по методологическому обеспечению создания благоприятных условий для социально - незащищенных категорий населения при переходе на цифровое телевидение на 2015 год</t>
  </si>
  <si>
    <t>Контрольное событие программы № 120 Подготовлен план по методологическому обеспечению создания благоприятных условий для социально - незащищенных категорий населения при переходе на цифровое телевидение на 2016 год</t>
  </si>
  <si>
    <t>Контрольное событие программы № 121 Подготовлен план по методологическому обеспечению создания благоприятных условий для социально - незащищенных категорий населения при переходе на цифровое телевидение на 2017 год</t>
  </si>
  <si>
    <t>Контрольное событие программы № 122 Проведено не менее одного заседания Координационного совета по информатизации и развитию связи в Республики Коми</t>
  </si>
  <si>
    <t>Контрольное событие программы № 123 Проведено не менее одного заседания Координационного совета по информатизации и развитию связи в Республики Коми</t>
  </si>
  <si>
    <t>Контрольное событие программы № 124 Проведено не менее одного заседания Координационного совета по информатизации и развитию связи в Республики Коми</t>
  </si>
  <si>
    <t>Контрольное событие программы № 125 Установлено портов общим количеством не менее 1000 единиц в 2014 году</t>
  </si>
  <si>
    <t>Контрольное событие программы № 126 Установлено портов не менее 1000 единиц в 2015 году</t>
  </si>
  <si>
    <t>Контрольное событие программы № 127 Установлено портов  не менее 1000 единиц в 2016 году</t>
  </si>
  <si>
    <t xml:space="preserve">Контрольное событие программы № 128 Установлено оборудование гарантированного электроснабжения вентиляции и кондиционирования резервного ЦОДа в г. Ухта </t>
  </si>
  <si>
    <t>Контрольное событие программы № 129 Выполнено 100% запланированных мероприятий от общего объема в рамках задач 2015 года</t>
  </si>
  <si>
    <t>Контрольное событие программы № 130 Выполнено 100% запланированных мероприятий от общего объема в рамках задач 2016 года</t>
  </si>
  <si>
    <t>Контрольное событие программы № 131 Автоматизировано и модернизировано не менее 500 рабочих мест в органах государственной власти Республики Коми и их подведомственных учреждениях в 2014 году</t>
  </si>
  <si>
    <t>Контрольное событие программы № 132 Автоматизировано и модернизировано не менее 500 рабочих мест в органах государственной власти Республики Коми и их подведомственных учреждениях в 2015 году</t>
  </si>
  <si>
    <t>Контрольное событие программы № 133 Автоматизировано и модернизировано не менее 500 рабочих мест в органах государственной власти Республики Коми и их подведомственных учреждениях в 2016 году</t>
  </si>
  <si>
    <t>Контрольное событие программы № 134 Организована закупка товаров, работ, услуг в соответствии с заявками</t>
  </si>
  <si>
    <t>Контрольное событие программы № 135 Приобретено и установлено специальное оборудование сегментов аппаратно-программного комплекса "Безопасный город" в рамках региональной программы "Обеспечение правопорядка и безопасности граждан в 2014 году"</t>
  </si>
  <si>
    <t>Контрольное событие программы № 136 Организована закупка товаров, работ, услуг в соответствии с заявками</t>
  </si>
  <si>
    <t>Контрольное событие программы № 137 Приобретено и установлено специальное оборудование сегментов аппаратно-программного комплекса "Безопасный город" в рамках региональной программы "Обеспечение правопорядка и безопасности населения Республики Коми" на 2015 год</t>
  </si>
  <si>
    <t>Контрольное событие программы № 138 Организована закупка товаров, работ, услуг в соответствии с заявками</t>
  </si>
  <si>
    <t xml:space="preserve">Контрольное событие программы № 139 Создано 40 переговорных комнат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 </t>
  </si>
  <si>
    <t>Контрольное событие программы № 140 Емкость сервера расширена до 80 одновременных подключений</t>
  </si>
  <si>
    <t>Контрольное событие программы № 141 Сервер ВКС для образовательных учреждений развернут</t>
  </si>
  <si>
    <t>Контрольное событие программы № 142 ПАК "КриптоПРО УЦ" в расширенной конфигурации приобретен в 2014 году</t>
  </si>
  <si>
    <t>Контрольное событие программы № 143 ПАК "КриптоПРО УЦ" в расширенной конфигурации приобретен в 2015 году</t>
  </si>
  <si>
    <t>Контрольное событие программы № 144 ПАК "Крипто ПРО УЦ" в расширенной конфигурации приобретен в 2016 году</t>
  </si>
  <si>
    <t xml:space="preserve">Контрольное событие программы № 145 Выданы сертификаты ключей проверки электронной подписи на базе не менее 5 Многофункциональных центров </t>
  </si>
  <si>
    <t xml:space="preserve">Контрольное событие программы № 146 Выданы сертификаты ключей проверки электронной подписи на базе не менее 15 Многофункциональных центров </t>
  </si>
  <si>
    <t xml:space="preserve">Контрольное событие программы № 147 Выданы сертификаты ключей проверки электронной подписи на базе не менее 20 Многофункциональных центров </t>
  </si>
  <si>
    <t>Контрольное событие программы № 148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</si>
  <si>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149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</si>
  <si>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150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</si>
  <si>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151 Выполнены все мероприятия по предотвращению инцидентов информационной безопасности в рамках задач 2014 года</t>
  </si>
  <si>
    <t>Контрольное событие программы № 152 Выполнены все мероприятия по предотвращению инцидентов информационной безопасности в рамках задач 2015 года</t>
  </si>
  <si>
    <t>Контрольное событие программы № 153 Выполнены все мероприятия по предотвращению инцидентов информационной безопасности в рамках задач 2016 года</t>
  </si>
  <si>
    <t>Контрольное событие программы № 154 Заключен государственный контракт на закупку не менее 750 лицензий на право пользования лицензий VIP Net Client KC2 на одном рабочем месте пользователя</t>
  </si>
  <si>
    <t>Контрольное событие программы № 155 Заключен государственный контракт на закупку не менее 750 лицензий на право пользования лицензий VIP Net Client KC2 на одном рабочем месте пользователя</t>
  </si>
  <si>
    <t>Контрольное событие программы № 156 Заключен государственный контракт на закупку не менее 750 лицензий на право пользования лицензий VIP Net Client KC2 на одном рабочем месте пользователя</t>
  </si>
  <si>
    <t>Контрольное событие программы № 157 Внедрен программно-аппаратный комплекс VIP Net Coordinator HW 2000</t>
  </si>
  <si>
    <t xml:space="preserve">Контрольное событие программы № 158 Внедрен программно-аппаратный комплекс мониторинга и управления безопасностью корпоративной информационной сети </t>
  </si>
  <si>
    <t>Контрольное событие программы № 159 Расширен функционал программно-аппаратного комплекса мониторинга и управления безопасностью корпоративной информационной сети</t>
  </si>
  <si>
    <t>Контрольное событие программы № 160 Документация для вновь проектируемых информационных систем электронного правительства разработана в 2014 году</t>
  </si>
  <si>
    <t>Контрольное событие программы № 161 Документация для вновь проектируемых информационных систем электронного правительства разработана в 2015 году</t>
  </si>
  <si>
    <t>Контрольное событие программы № 162 Документация для вновь проектируемых информационных систем электронного правительства разработана в 2016 году</t>
  </si>
  <si>
    <t>Контрольное событие программы № 163 Аттестаты соответствия информационных систем по требованиям безопасности выданы на объекты информатизации в 2014 году</t>
  </si>
  <si>
    <t>Контрольное событие программы № 164 Аттестаты соответствия информационных систем по требованиям безопасности выданы на объекты информатизации в 2015 году</t>
  </si>
  <si>
    <t>Контрольное событие программы № 165 Аттестаты соответствия информационных систем по требованиям безопасности выданы на объекты информатизации в 2016 году</t>
  </si>
  <si>
    <t>Контрольное событие программы № 166 Средства защиты информации установлены на всех рабочих местах, необходимых к защите в органах государственной власти Республики Коми в 2014 году</t>
  </si>
  <si>
    <t xml:space="preserve">Контрольное событие программы № 167 Средства защиты информации установлены на всех рабочих местах, необходимых к защите в органах государственной власти Республики Коми в 2015 году </t>
  </si>
  <si>
    <t xml:space="preserve">Контрольное событие программы № 168 Средства защиты информации установлены на всех рабочих местах, необходимых к защите в органах государственной власти Республики Коми в 2016 году </t>
  </si>
  <si>
    <t>Контрольное событие программы № 169 Создано и/или модернизировано не менее 3 сервисов формирования и представления пространственных данных в 2014 году</t>
  </si>
  <si>
    <t>Контрольное событие программы № 170 Создано и/или модернизировано не менее 3 сервисов формирования и представления пространственных данных в 2015 году</t>
  </si>
  <si>
    <t>Контрольное событие программы № 171 Создано и/или модернизировано не менее 3 сервисов формирования и представления пространственных данных в 2016 году</t>
  </si>
  <si>
    <t>Контрольное событие программы № 175 Подготовлен план по обеспечению решения экологических задач, задач территориального, инфраструктурного и промышленного развития с использованием материалов космической съемки в 2015 году</t>
  </si>
  <si>
    <t>Контрольное событие программы № 176 Подготовлен план по обеспечению решения экологических задач, задач территориального, инфраструктурного и промышленного развития с использованием материалов космической съемки в 2016 году</t>
  </si>
  <si>
    <t>Контрольное событие программы № 177 Подготовлен план по обеспечению решения экологических задач, задач территориального, инфраструктурного и промышленного развития с использованием материалов космической съемки в 2017 году</t>
  </si>
  <si>
    <t xml:space="preserve">Контрольное событие программы № 178 Подготовлен план по обслуживанию и развитию сети референтных станций на базе ГЛОНАСС в Республике Коми в 2015 году </t>
  </si>
  <si>
    <t xml:space="preserve">Контрольное событие программы № 179 Подготовлен план по обслуживанию и развитию сети референтных станций на базе ГЛОНАСС в Республике Коми в 2016 году </t>
  </si>
  <si>
    <t>Контрольное событие программы № 180 Подготовлен план по обслуживанию и развитию сети референтных станций на базе ГЛОНАСС в Республике Коми в 2017 году</t>
  </si>
  <si>
    <t>Контрольное событие программы № 181 Бортовые терминалы введены в эксплуатацию на 60 единицах техники Автохозяйства Главы Республики Коми и Правительства Республики Коми</t>
  </si>
  <si>
    <t>Контрольное событие программы № 182 Проведено техническое обслуживание не менее 100 единиц бортовых терминалов (тахографов) в 2015 году</t>
  </si>
  <si>
    <t>Контрольное событие программы № 183 Проведено техническое обслуживание не менее 200 единиц бортовых терминалов (тахографов) в 2016 году</t>
  </si>
  <si>
    <t xml:space="preserve">Контрольное событие программы № 184 Проведено обслуживание не менее 422 единиц государственных органов Республики Коми и государственных учреждений Республики Коми в 2014 году
</t>
  </si>
  <si>
    <t>Контрольное событие программы № 185 Проведено обслуживание не менее 422 единиц государственных органов Республики Коми и государственных учреждений Республики Коми в 2015 году</t>
  </si>
  <si>
    <t>Контрольное событие программы № 186 Проведено обслуживание не менее 422 единиц государственных органов Республики Коми и государственных учреждений Республики Коми в 2016 году</t>
  </si>
  <si>
    <t xml:space="preserve">Контрольное событие программы № 187 Установлено не менее 350 единиц средств защиты информации на рабочих местах в 2014 году
</t>
  </si>
  <si>
    <t>Контрольное событие программы № 188 Установлено не менее 350 единиц средств защиты информации на рабочих местах в 2015 году</t>
  </si>
  <si>
    <t>Контрольное событие программы № 189 Установлено не менее 350 единиц средств защиты информации на рабочих местах в 2016 году</t>
  </si>
  <si>
    <t>Контрольное событие программы № 190 Выполнено 100 % показателей в соответствии с государственным заданием в 2014 году</t>
  </si>
  <si>
    <t>Контрольное событие программы № 191 Выполнено 100 % показателей в соответствии с государственным заданием в 2015 году</t>
  </si>
  <si>
    <t>Контрольное событие программы № 192 Выполнено 100 % показателей в соответствии с государственным заданием в 2016 году</t>
  </si>
  <si>
    <t>Контрольное событие программы № 193 Выполнено 100 % показателей в соответствии с государственным заданием в 2014 году</t>
  </si>
  <si>
    <t>Контрольное событие программы № 194 Выполнено 100 % показателей в соответствии с государственным заданием в 2015 году</t>
  </si>
  <si>
    <t>Контрольное событие программы № 195 Выполнено 100 % показателей в соответствии с государственным заданием в 2016 году</t>
  </si>
  <si>
    <t>Контрольное событие программы № 196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 в 2014 году</t>
  </si>
  <si>
    <t>Контрольное событие программы № 197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 в 2015 году</t>
  </si>
  <si>
    <t>Контрольное событие программы № 198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 в 2016 году</t>
  </si>
  <si>
    <t>Контрольное событие программы № 199 Процессы проектной деятельности автоматизированы на 100%</t>
  </si>
  <si>
    <t>Контрольное событие программы № 200 Создано и организовано проведение не менее 2-х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 в 2015 году</t>
  </si>
  <si>
    <t>Контрольное событие программы № 201 Создано и организовано проведение не менее 2-х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 в 2016 году</t>
  </si>
  <si>
    <t>Модернизация ведомственных информационных систем, обеспечивающих межведомственное электронное взаимодействие</t>
  </si>
  <si>
    <t>2.02.04.02. Методологическое обеспечение процесса разработки и внедрения ведомственных информационных систем, обеспечивающих межведомственное электронное взаимодействие при предоставлении государственных услуг в электронном виде</t>
  </si>
  <si>
    <t xml:space="preserve">5.01.03.01. Работа по реализации и сопровождению сервисов и подсистем геопортала в соответствии с Концепцией создания и развития инфраструктуры пространственных данных Республики Коми
</t>
  </si>
  <si>
    <t>5.01.03.02. Организационно-методологическое обеспечение процесса реализации и сопровождения сервисов и подсистем геопортала в соответствии с Концепцией создания и развития инфраструктуры пространственных данных Республики Коми</t>
  </si>
  <si>
    <t>Наличие организационно-методологического обеспечения процесса реализации и сопровождения сервисов и подсистем геопортала в соответствии с Концепцией создания и развития инфраструктуры пространственных данных Республики Коми</t>
  </si>
  <si>
    <t>Контрольное событие программы № 172 Подготовлен план работы по реализации и сопровождению сервисов и подсистем геопортала в соответствии с Концепцией создания и развития инфраструктуры пространственных данных Республики Коми на 2015 год</t>
  </si>
  <si>
    <t>Контрольное событие программы № 173 
Подготовлен план работы по реализации и сопровождению сервисов и подсистем геопортала в соответствии с Концепцией создания и развития инфраструктуры пространственных данных Республики Коми на 2016 год</t>
  </si>
  <si>
    <t>Контрольное событие программы № 174 Подготовлен план работы по реализации и сопровождению сервисов и подсистем геопортала в соответствии с Концепцией создания и развития инфраструктуры пространственных данных Республики Коми на 2017 год</t>
  </si>
  <si>
    <t>Выполнение 100% мероприятий по реализации и сопровождению сервисов и подсистем геопортала в соответствии с Концепцией создания и развития инфраструктуры пространственных данных Республики Коми</t>
  </si>
  <si>
    <t xml:space="preserve">Подведомственное учреждение, ответственное за исполнение мероприятия </t>
  </si>
  <si>
    <t>Статус мероприятия (ГЗ, СИЦ)</t>
  </si>
  <si>
    <t>Ответственный исполнитель/  исполнитель</t>
  </si>
  <si>
    <t>Аристов С.С.</t>
  </si>
  <si>
    <t>ГАУ РК "ЦИТ"</t>
  </si>
  <si>
    <t>СИЦ</t>
  </si>
  <si>
    <t>Елагин М.Р.</t>
  </si>
  <si>
    <t>Жегунова Н.В.</t>
  </si>
  <si>
    <t>Майнина К.А.</t>
  </si>
  <si>
    <t>АУ РК "Комиинформ"</t>
  </si>
  <si>
    <t>Таштимиров А.К.</t>
  </si>
  <si>
    <t>ГАУ РК "МФЦ"</t>
  </si>
  <si>
    <t>Власова Е.А.</t>
  </si>
  <si>
    <t>Данилов М.А.</t>
  </si>
  <si>
    <t>Белых О.В.</t>
  </si>
  <si>
    <t>Кокорин Н.В.</t>
  </si>
  <si>
    <t>Алисас А.Ю.</t>
  </si>
  <si>
    <t>Попов С.В./   Копченков П.Н.</t>
  </si>
  <si>
    <t>Попов С.В.</t>
  </si>
  <si>
    <t>Попов С.В./Федоров А.В.</t>
  </si>
  <si>
    <t>Жолобова О.В.</t>
  </si>
  <si>
    <t>Ефремов А.А.</t>
  </si>
  <si>
    <t>Гавердовский В.С.</t>
  </si>
  <si>
    <t>Попов С.В./Куланов В.А.</t>
  </si>
  <si>
    <t>Полшведкин Р.В.</t>
  </si>
  <si>
    <t>Попов С.В./   Кокшаров И.А.</t>
  </si>
  <si>
    <t>Попов С.В./    Каширин Р.А.</t>
  </si>
  <si>
    <t>Стручалин Е.В.</t>
  </si>
  <si>
    <t>ГЗ</t>
  </si>
  <si>
    <t>Власова А.О.</t>
  </si>
  <si>
    <t>Булдакова Т.Х.</t>
  </si>
  <si>
    <t>Афанасьева С.М.</t>
  </si>
  <si>
    <t>Попов С.В./Кокшаров И.А.</t>
  </si>
  <si>
    <t xml:space="preserve">ГКУ РК "КР Инвестстройцентр" </t>
  </si>
  <si>
    <t>ГБУ РК "ТФИ РК"</t>
  </si>
  <si>
    <t>Терентьев А.В.</t>
  </si>
  <si>
    <t>Красавин А.А.</t>
  </si>
  <si>
    <t>Мчедлишвили Д.Г.</t>
  </si>
  <si>
    <t>Алисас А.Ю./Пащенко В.Ф./Красавин А.А.</t>
  </si>
  <si>
    <t>Попов С.В./   Кидышин Ю.С.</t>
  </si>
  <si>
    <t>Соколова А.С.</t>
  </si>
  <si>
    <t>Коробов А.С.</t>
  </si>
  <si>
    <t>ГБУ Республики Коми "ЦБИ"</t>
  </si>
  <si>
    <t>Варгин Л.Л.</t>
  </si>
  <si>
    <t>Солдаткичев С.И.</t>
  </si>
  <si>
    <t>Милюк С.Г.</t>
  </si>
  <si>
    <t>Зябрев С.В.</t>
  </si>
  <si>
    <t>Плужников И.В.</t>
  </si>
  <si>
    <t>Брижань А.А./Алисас А.Ю.</t>
  </si>
  <si>
    <t>Алисас А.Ю./ Солдаткичев С.И./ Родзявичус А.П.</t>
  </si>
  <si>
    <t>Полшведкин Д.В.</t>
  </si>
  <si>
    <t>Полшведкин Д.В., Терентьев А.В., Попов М.Я.</t>
  </si>
  <si>
    <t>Рейтенбах Н.А.</t>
  </si>
  <si>
    <t>Зябрев С.В./Алисас А.Ю.</t>
  </si>
  <si>
    <t>Березовская Л.В./Крашенинников М.С.</t>
  </si>
  <si>
    <t>Расова Н.А.</t>
  </si>
  <si>
    <t xml:space="preserve">Ответственный исполнитель ОИВ (Ф.И.О., должность) </t>
  </si>
  <si>
    <t>Факт начала реализации мероприятия</t>
  </si>
  <si>
    <t>Факт окончания реализации мероприятия, наступления контрольного события</t>
  </si>
  <si>
    <t>предусмотрено программой  "2"</t>
  </si>
  <si>
    <t>Заключено контрактов на отчетную дату, тыс. руб. "3"</t>
  </si>
  <si>
    <t>Исполнение плановых назначений по выплатам подведомственными учреждениями, тыс. руб.</t>
  </si>
  <si>
    <t>Фактический достигнутый результат</t>
  </si>
  <si>
    <t>Примечание (указать причину не освоения средств/не достижения контрольного события)</t>
  </si>
  <si>
    <r>
      <t xml:space="preserve">Ожидаемый результат реализации мероприятия в соответствии с Комплексным планом,
утвержденным приказом Комитета информатизации и связи Республики Коми от </t>
    </r>
    <r>
      <rPr>
        <sz val="12"/>
        <color rgb="FFFF0000"/>
        <rFont val="Times New Roman"/>
        <family val="1"/>
        <charset val="204"/>
      </rPr>
      <t>04.02.2014 года № 10-од</t>
    </r>
    <r>
      <rPr>
        <sz val="12"/>
        <rFont val="Times New Roman"/>
        <family val="1"/>
        <charset val="204"/>
      </rPr>
      <t xml:space="preserve"> </t>
    </r>
  </si>
  <si>
    <t>Приложение</t>
  </si>
  <si>
    <t xml:space="preserve">Форма мониторинга (квартальная)
реализации государственной программы Республики Коми </t>
  </si>
  <si>
    <t xml:space="preserve">"Информационное общество" </t>
  </si>
  <si>
    <t xml:space="preserve">Ответственный исполнитель: Комитет информатизации и связи Республики Коми </t>
  </si>
  <si>
    <t>Отчетный период: 9 мес. 2014 г.</t>
  </si>
  <si>
    <t>"1",  "*" Отмечаются только контрольные события, входящие в форму мониторинга реализации государственной программы, формируемую Министерством экономического развития Республики Коми</t>
  </si>
  <si>
    <t>"2" Согласно сводной бюджетной росписи республиканского бюджета Республики Коми на отчетную дату</t>
  </si>
  <si>
    <t>"3" Под отчетной датой понимается первое число месяца, следующего за отчетным периодом</t>
  </si>
  <si>
    <t xml:space="preserve">Подпрограмма 6 "Обеспечение реализации государственной программы" </t>
  </si>
  <si>
    <t>Подпрограмма 3 "Развитие инфраструктуры информационно-коммуникационных технологий и систем связи"</t>
  </si>
  <si>
    <t>Статус контрольного события "1"</t>
  </si>
  <si>
    <t>Руководитель Комитета информатизации и связи Республики Коми</t>
  </si>
  <si>
    <t xml:space="preserve">Руководитель Комитета информатизации и связи Республики Коми </t>
  </si>
  <si>
    <t>Заместитель руководителя Комитета информатизации и связи Республики Коми</t>
  </si>
  <si>
    <t xml:space="preserve">Министр природных ресурсов и охраны окружающей среды Республики Коми </t>
  </si>
  <si>
    <t xml:space="preserve">Заместитель министра архитектуры и строительства Республики Коми </t>
  </si>
  <si>
    <t>Расходы республиканского бюджета Республики Коми на реализацию государственной программы, тыс.руб. "4"</t>
  </si>
  <si>
    <t>Оборудование не закуплено в связи с запланированной ликвидацией ГБУ РК "ЦБИ". 
Запланирована закупка оборудования для ГАУ РК "ЦИТ" в 4 квартале 2014 года.</t>
  </si>
  <si>
    <t>кассовое исполнение на отчетную дату "3"</t>
  </si>
  <si>
    <t xml:space="preserve">Контрольное событие программы № 4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2014 год заключен. </t>
  </si>
  <si>
    <t>Контрольное событие программы № 5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2015 год заключен.</t>
  </si>
  <si>
    <t>Контрольное событие программы № 6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2016 год заключен.</t>
  </si>
  <si>
    <t xml:space="preserve">Контрольное событие программы № 28 
В постоянную эксплуатацию ИС КАГУ внедрена в 5 органах исполнительной власти Республики Коми (1 очередь) </t>
  </si>
  <si>
    <t>"4" Расходы на реализацию государственной программы в 2014 году будут скорректированы в 4 кв.2014 г. в соответствии с законом Республики Коми от 25.09.2014 № 89-РЗ.</t>
  </si>
  <si>
    <r>
      <rPr>
        <b/>
        <i/>
        <sz val="12"/>
        <rFont val="Times New Roman"/>
        <family val="1"/>
        <charset val="204"/>
      </rPr>
      <t>31.03.2014</t>
    </r>
    <r>
      <rPr>
        <i/>
        <sz val="12"/>
        <rFont val="Times New Roman"/>
        <family val="1"/>
        <charset val="204"/>
      </rPr>
      <t xml:space="preserve">
10.02.2014 подписан протокол ввода в опытную эксплуатацию ИС КАГУ по 5 ОИВ Республики Коми (первая очередь). 16.06.2014 в ходе опытной эксплуатации  осуществлен перевод баз с ИС «Смета» и «ИП Гуляева» в ИС КАГУ. 
На 01.10.2014:
- ООО «ЦИАС» сформирован новый план работ; 
- подключены к ИС КАГУ Управление государственной гражданской службы Республики Коми, Агентство по туризму Республики Коми. 
Ведутся работы по наполнению баз  в Министерстве образования Республики Коми, Министерстве природных ресурсов и охраны окружающей среды Республики Коми.
</t>
    </r>
  </si>
  <si>
    <r>
      <rPr>
        <b/>
        <i/>
        <sz val="12"/>
        <rFont val="Times New Roman"/>
        <family val="1"/>
        <charset val="204"/>
      </rPr>
      <t>30.09.2014</t>
    </r>
    <r>
      <rPr>
        <i/>
        <sz val="12"/>
        <rFont val="Times New Roman"/>
        <family val="1"/>
        <charset val="204"/>
      </rPr>
      <t xml:space="preserve">
По состоянию на 30.09.2014:  
- автоматизировано 860 рабочих мест государственных служащих; 
- дополнительно АРМ государственных служащих модернизированы 241 единицей оргтехники и комплектующими.</t>
    </r>
  </si>
  <si>
    <r>
      <rPr>
        <b/>
        <i/>
        <sz val="11"/>
        <rFont val="Times New Roman"/>
        <family val="1"/>
        <charset val="204"/>
      </rPr>
      <t xml:space="preserve">31.03.2014 </t>
    </r>
    <r>
      <rPr>
        <i/>
        <sz val="11"/>
        <rFont val="Times New Roman"/>
        <family val="1"/>
        <charset val="204"/>
      </rPr>
      <t xml:space="preserve">
Сведения размещены в информационно-телекоммуникационной сети «Интернет», организовано регулярное обновление информации с периодичностью 12 часов.</t>
    </r>
  </si>
  <si>
    <t>Заключен контракт от 22.05.2014 на приобретение СЗИ в количестве 521 штуки.
Лицензии не закуплены в полном объеме в связи с запланированной ликвидацией ГБУ РК "ЦБИ". 
Закупка запланирована для ГАУ РК "ЦИТ" в 4 квартале 2014 года.</t>
  </si>
  <si>
    <r>
      <t xml:space="preserve">30.09.2014
</t>
    </r>
    <r>
      <rPr>
        <i/>
        <sz val="12"/>
        <rFont val="Times New Roman"/>
        <family val="1"/>
        <charset val="204"/>
      </rPr>
      <t>Система учета и управления объектами государственной собственности Республики Коми и муниципальной собственности введена в промышленную эксплуатацию.</t>
    </r>
  </si>
  <si>
    <r>
      <rPr>
        <b/>
        <i/>
        <sz val="11"/>
        <rFont val="Times New Roman"/>
        <family val="1"/>
        <charset val="204"/>
      </rPr>
      <t>30.06.2014</t>
    </r>
    <r>
      <rPr>
        <i/>
        <sz val="11"/>
        <rFont val="Times New Roman"/>
        <family val="1"/>
        <charset val="204"/>
      </rPr>
      <t xml:space="preserve">
На 30.09.2014 выполнены экспертизы по 303 проектам административных регламентов и проектам о внесении изменений в административные регламенты.</t>
    </r>
  </si>
  <si>
    <r>
      <rPr>
        <b/>
        <sz val="11"/>
        <rFont val="Times New Roman"/>
        <family val="1"/>
        <charset val="204"/>
      </rPr>
      <t>31.03.2014</t>
    </r>
    <r>
      <rPr>
        <sz val="11"/>
        <rFont val="Times New Roman"/>
        <family val="1"/>
        <charset val="204"/>
      </rPr>
      <t xml:space="preserve">
Документация подготовлена и проходит антикоррупционную экспертизу.</t>
    </r>
  </si>
  <si>
    <t xml:space="preserve">На 01.10.2014:
- документация находится на стадии доработки по итогам антикоррупционной экспертизы;
- инициирован проект по реализации мероприятия, внесены изменения в ФЭО проекта. 
</t>
  </si>
  <si>
    <r>
      <rPr>
        <b/>
        <i/>
        <sz val="12"/>
        <rFont val="Times New Roman"/>
        <family val="1"/>
        <charset val="204"/>
      </rPr>
      <t>15.05.2014</t>
    </r>
    <r>
      <rPr>
        <i/>
        <sz val="12"/>
        <rFont val="Times New Roman"/>
        <family val="1"/>
        <charset val="204"/>
      </rPr>
      <t xml:space="preserve">
В связи с длительным прохождением конкурсных процедур контракт заключен 15.05.2014</t>
    </r>
  </si>
  <si>
    <r>
      <rPr>
        <b/>
        <i/>
        <sz val="12"/>
        <rFont val="Times New Roman"/>
        <family val="1"/>
        <charset val="204"/>
      </rPr>
      <t>30.09.2014</t>
    </r>
    <r>
      <rPr>
        <i/>
        <sz val="12"/>
        <rFont val="Times New Roman"/>
        <family val="1"/>
        <charset val="204"/>
      </rPr>
      <t xml:space="preserve">
Сформированы: 
- функциональные требования к необходимым для разработки модулям РКИС "Госуслуги – Республика Коми", 
- технические задания на модернизацию. 
До конца года запланирована модернизация РКИС "Госуслуги – Республика Коми" в части добавления двух модулей: "Оценка качества" и "Терминальная версия".</t>
    </r>
  </si>
  <si>
    <r>
      <t xml:space="preserve">30.06.2014
</t>
    </r>
    <r>
      <rPr>
        <sz val="12"/>
        <rFont val="Times New Roman"/>
        <family val="1"/>
        <charset val="204"/>
      </rPr>
      <t>Обеспечено методологическое сопровождение процессов организации  мониторингов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</t>
    </r>
  </si>
  <si>
    <r>
      <rPr>
        <b/>
        <i/>
        <sz val="11"/>
        <rFont val="Times New Roman"/>
        <family val="1"/>
        <charset val="204"/>
      </rPr>
      <t xml:space="preserve">30.03.2014 
</t>
    </r>
    <r>
      <rPr>
        <i/>
        <sz val="11"/>
        <rFont val="Times New Roman"/>
        <family val="1"/>
        <charset val="204"/>
      </rPr>
      <t>Заключен Договор на сумму        
6 300,00 тыс. 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</si>
</sst>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_ ;\-#,##0.00\ "/>
  </numFmts>
  <fonts count="20" x14ac:knownFonts="1">
    <font>
      <sz val="10"/>
      <name val="Arial Cyr"/>
      <charset val="204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26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11" fillId="0" borderId="0"/>
  </cellStyleXfs>
  <cellXfs count="293">
    <xf numFmtId="0" fontId="0" fillId="0" borderId="0" xfId="0"/>
    <xf numFmtId="0" fontId="4" fillId="0" borderId="1" xfId="0" applyFont="1" applyBorder="1" applyAlignment="1">
      <alignment vertical="top" wrapText="1"/>
    </xf>
    <xf numFmtId="0" fontId="5" fillId="5" borderId="2" xfId="0" applyFont="1" applyFill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5" fillId="7" borderId="0" xfId="0" applyFont="1" applyFill="1" applyAlignment="1">
      <alignment vertical="top" wrapText="1"/>
    </xf>
    <xf numFmtId="0" fontId="5" fillId="3" borderId="0" xfId="0" applyFont="1" applyFill="1" applyAlignment="1">
      <alignment horizontal="justify" vertical="top" wrapText="1"/>
    </xf>
    <xf numFmtId="0" fontId="5" fillId="3" borderId="0" xfId="0" applyFont="1" applyFill="1" applyAlignment="1">
      <alignment horizontal="left" vertical="top" wrapText="1"/>
    </xf>
    <xf numFmtId="2" fontId="5" fillId="0" borderId="2" xfId="0" applyNumberFormat="1" applyFont="1" applyBorder="1" applyAlignment="1">
      <alignment horizontal="center" vertical="top"/>
    </xf>
    <xf numFmtId="2" fontId="5" fillId="5" borderId="2" xfId="0" applyNumberFormat="1" applyFont="1" applyFill="1" applyBorder="1" applyAlignment="1">
      <alignment horizontal="center" vertical="top" wrapText="1"/>
    </xf>
    <xf numFmtId="0" fontId="5" fillId="4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5" fillId="4" borderId="0" xfId="0" applyFont="1" applyFill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5" borderId="0" xfId="0" applyFont="1" applyFill="1" applyAlignment="1">
      <alignment vertical="top" wrapText="1"/>
    </xf>
    <xf numFmtId="0" fontId="5" fillId="4" borderId="0" xfId="0" applyFont="1" applyFill="1" applyBorder="1" applyAlignment="1">
      <alignment horizontal="justify" vertical="top" wrapText="1"/>
    </xf>
    <xf numFmtId="0" fontId="5" fillId="4" borderId="0" xfId="0" applyFont="1" applyFill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vertical="top" wrapText="1"/>
    </xf>
    <xf numFmtId="0" fontId="5" fillId="5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7" fillId="5" borderId="0" xfId="0" applyFont="1" applyFill="1" applyAlignment="1">
      <alignment vertical="top" wrapText="1"/>
    </xf>
    <xf numFmtId="0" fontId="5" fillId="4" borderId="0" xfId="0" applyFont="1" applyFill="1" applyAlignment="1">
      <alignment horizontal="justify" vertical="top" wrapText="1"/>
    </xf>
    <xf numFmtId="4" fontId="6" fillId="3" borderId="2" xfId="2" applyNumberFormat="1" applyFont="1" applyFill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 wrapText="1"/>
    </xf>
    <xf numFmtId="4" fontId="5" fillId="3" borderId="2" xfId="2" applyNumberFormat="1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center" vertical="top" wrapText="1"/>
    </xf>
    <xf numFmtId="14" fontId="5" fillId="5" borderId="2" xfId="0" applyNumberFormat="1" applyFont="1" applyFill="1" applyBorder="1" applyAlignment="1">
      <alignment horizontal="center" vertical="top" wrapText="1"/>
    </xf>
    <xf numFmtId="4" fontId="5" fillId="3" borderId="6" xfId="0" applyNumberFormat="1" applyFont="1" applyFill="1" applyBorder="1" applyAlignment="1">
      <alignment horizontal="center" vertical="top" wrapText="1"/>
    </xf>
    <xf numFmtId="2" fontId="5" fillId="4" borderId="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/>
    </xf>
    <xf numFmtId="164" fontId="5" fillId="3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center" vertical="top" wrapText="1"/>
    </xf>
    <xf numFmtId="2" fontId="5" fillId="3" borderId="2" xfId="0" applyNumberFormat="1" applyFont="1" applyFill="1" applyBorder="1" applyAlignment="1">
      <alignment horizontal="center" vertical="top" wrapText="1"/>
    </xf>
    <xf numFmtId="0" fontId="5" fillId="6" borderId="0" xfId="0" applyFont="1" applyFill="1" applyAlignment="1">
      <alignment vertical="top" wrapText="1"/>
    </xf>
    <xf numFmtId="4" fontId="5" fillId="5" borderId="2" xfId="0" applyNumberFormat="1" applyFont="1" applyFill="1" applyBorder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0" fontId="5" fillId="3" borderId="0" xfId="0" applyFont="1" applyFill="1" applyAlignment="1">
      <alignment horizontal="center" vertical="top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horizontal="justify" vertical="top" wrapText="1"/>
    </xf>
    <xf numFmtId="0" fontId="7" fillId="3" borderId="0" xfId="0" applyFont="1" applyFill="1" applyAlignment="1">
      <alignment vertical="top" wrapText="1"/>
    </xf>
    <xf numFmtId="0" fontId="6" fillId="4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5" fillId="5" borderId="2" xfId="0" applyFont="1" applyFill="1" applyBorder="1" applyAlignment="1">
      <alignment horizontal="center" vertical="center" wrapText="1"/>
    </xf>
    <xf numFmtId="14" fontId="5" fillId="5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6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4" fontId="6" fillId="0" borderId="2" xfId="2" applyNumberFormat="1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2" applyNumberFormat="1" applyFont="1" applyFill="1" applyBorder="1" applyAlignment="1">
      <alignment horizontal="center" vertical="top"/>
    </xf>
    <xf numFmtId="165" fontId="6" fillId="0" borderId="2" xfId="1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2" fontId="5" fillId="0" borderId="2" xfId="1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1" fontId="5" fillId="3" borderId="0" xfId="0" applyNumberFormat="1" applyFont="1" applyFill="1" applyAlignment="1">
      <alignment vertical="top" wrapText="1"/>
    </xf>
    <xf numFmtId="1" fontId="3" fillId="3" borderId="0" xfId="0" applyNumberFormat="1" applyFont="1" applyFill="1" applyAlignment="1">
      <alignment vertical="top" wrapText="1"/>
    </xf>
    <xf numFmtId="1" fontId="5" fillId="3" borderId="2" xfId="0" applyNumberFormat="1" applyFont="1" applyFill="1" applyBorder="1" applyAlignment="1">
      <alignment horizontal="center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5" fillId="8" borderId="0" xfId="0" applyFont="1" applyFill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14" fontId="6" fillId="3" borderId="2" xfId="0" applyNumberFormat="1" applyFont="1" applyFill="1" applyBorder="1" applyAlignment="1">
      <alignment horizontal="center" vertical="top" wrapText="1"/>
    </xf>
    <xf numFmtId="2" fontId="6" fillId="0" borderId="2" xfId="1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13" fillId="3" borderId="0" xfId="0" applyFont="1" applyFill="1" applyAlignment="1">
      <alignment vertical="top" wrapText="1"/>
    </xf>
    <xf numFmtId="0" fontId="13" fillId="9" borderId="0" xfId="0" applyFont="1" applyFill="1" applyAlignment="1">
      <alignment vertical="top" wrapText="1"/>
    </xf>
    <xf numFmtId="0" fontId="5" fillId="9" borderId="0" xfId="0" applyFont="1" applyFill="1" applyAlignment="1">
      <alignment vertical="top" wrapText="1"/>
    </xf>
    <xf numFmtId="0" fontId="5" fillId="10" borderId="0" xfId="0" applyFont="1" applyFill="1" applyAlignment="1">
      <alignment vertical="top" wrapText="1"/>
    </xf>
    <xf numFmtId="0" fontId="5" fillId="10" borderId="0" xfId="0" applyFont="1" applyFill="1" applyBorder="1" applyAlignment="1">
      <alignment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14" fontId="5" fillId="3" borderId="2" xfId="0" applyNumberFormat="1" applyFont="1" applyFill="1" applyBorder="1" applyAlignment="1">
      <alignment horizontal="center" vertical="top"/>
    </xf>
    <xf numFmtId="2" fontId="5" fillId="3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5" fillId="11" borderId="0" xfId="0" applyFont="1" applyFill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2" fontId="6" fillId="3" borderId="2" xfId="1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15" fillId="12" borderId="2" xfId="0" applyFont="1" applyFill="1" applyBorder="1" applyAlignment="1">
      <alignment horizontal="center" vertical="center" wrapText="1"/>
    </xf>
    <xf numFmtId="4" fontId="6" fillId="12" borderId="2" xfId="3" applyNumberFormat="1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49" fontId="6" fillId="12" borderId="6" xfId="0" applyNumberFormat="1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 wrapText="1"/>
    </xf>
    <xf numFmtId="0" fontId="16" fillId="12" borderId="3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center" vertical="top" wrapText="1"/>
    </xf>
    <xf numFmtId="0" fontId="6" fillId="12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5" fillId="12" borderId="3" xfId="0" applyFont="1" applyFill="1" applyBorder="1" applyAlignment="1">
      <alignment horizontal="center" vertical="center" wrapText="1"/>
    </xf>
    <xf numFmtId="0" fontId="17" fillId="12" borderId="3" xfId="0" applyFont="1" applyFill="1" applyBorder="1" applyAlignment="1">
      <alignment horizontal="center" vertical="center" wrapText="1"/>
    </xf>
    <xf numFmtId="4" fontId="5" fillId="12" borderId="3" xfId="3" applyNumberFormat="1" applyFont="1" applyFill="1" applyBorder="1" applyAlignment="1">
      <alignment horizontal="center" vertical="center" wrapText="1"/>
    </xf>
    <xf numFmtId="4" fontId="17" fillId="12" borderId="3" xfId="3" applyNumberFormat="1" applyFont="1" applyFill="1" applyBorder="1" applyAlignment="1">
      <alignment horizontal="center" vertical="center"/>
    </xf>
    <xf numFmtId="49" fontId="5" fillId="12" borderId="10" xfId="0" applyNumberFormat="1" applyFont="1" applyFill="1" applyBorder="1" applyAlignment="1">
      <alignment horizontal="center" vertical="center" wrapText="1"/>
    </xf>
    <xf numFmtId="4" fontId="17" fillId="12" borderId="3" xfId="3" applyNumberFormat="1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wrapText="1"/>
    </xf>
    <xf numFmtId="1" fontId="5" fillId="13" borderId="2" xfId="0" applyNumberFormat="1" applyFont="1" applyFill="1" applyBorder="1" applyAlignment="1">
      <alignment horizontal="center" wrapText="1"/>
    </xf>
    <xf numFmtId="0" fontId="6" fillId="13" borderId="4" xfId="0" applyFont="1" applyFill="1" applyBorder="1" applyAlignment="1">
      <alignment horizontal="left" vertical="top" wrapText="1"/>
    </xf>
    <xf numFmtId="0" fontId="6" fillId="13" borderId="2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top" wrapText="1"/>
    </xf>
    <xf numFmtId="0" fontId="5" fillId="13" borderId="2" xfId="0" applyFont="1" applyFill="1" applyBorder="1" applyAlignment="1">
      <alignment horizontal="center" vertical="top" wrapText="1"/>
    </xf>
    <xf numFmtId="0" fontId="6" fillId="13" borderId="0" xfId="0" applyFont="1" applyFill="1" applyBorder="1" applyAlignment="1">
      <alignment horizontal="left" vertical="top" wrapText="1"/>
    </xf>
    <xf numFmtId="0" fontId="5" fillId="13" borderId="2" xfId="0" applyFont="1" applyFill="1" applyBorder="1" applyAlignment="1">
      <alignment horizontal="center" vertical="top"/>
    </xf>
    <xf numFmtId="0" fontId="6" fillId="13" borderId="7" xfId="0" applyFont="1" applyFill="1" applyBorder="1" applyAlignment="1">
      <alignment horizontal="center" vertical="top" wrapText="1"/>
    </xf>
    <xf numFmtId="0" fontId="5" fillId="13" borderId="7" xfId="0" applyFont="1" applyFill="1" applyBorder="1" applyAlignment="1">
      <alignment horizontal="center" vertical="top" wrapText="1"/>
    </xf>
    <xf numFmtId="0" fontId="5" fillId="13" borderId="8" xfId="0" applyFont="1" applyFill="1" applyBorder="1" applyAlignment="1">
      <alignment horizontal="center" vertical="top" wrapText="1"/>
    </xf>
    <xf numFmtId="0" fontId="5" fillId="13" borderId="2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left" vertical="top" wrapText="1"/>
    </xf>
    <xf numFmtId="0" fontId="5" fillId="12" borderId="0" xfId="0" applyFont="1" applyFill="1" applyAlignment="1">
      <alignment vertical="top" wrapText="1"/>
    </xf>
    <xf numFmtId="0" fontId="6" fillId="12" borderId="2" xfId="0" applyFont="1" applyFill="1" applyBorder="1" applyAlignment="1">
      <alignment vertical="top" wrapText="1"/>
    </xf>
    <xf numFmtId="0" fontId="5" fillId="12" borderId="2" xfId="0" applyFont="1" applyFill="1" applyBorder="1" applyAlignment="1">
      <alignment vertical="top" wrapText="1"/>
    </xf>
    <xf numFmtId="0" fontId="5" fillId="12" borderId="2" xfId="0" applyFont="1" applyFill="1" applyBorder="1" applyAlignment="1">
      <alignment horizontal="center" vertical="center" wrapText="1"/>
    </xf>
    <xf numFmtId="0" fontId="6" fillId="12" borderId="7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1" fontId="5" fillId="3" borderId="7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4" fontId="5" fillId="3" borderId="2" xfId="0" applyNumberFormat="1" applyFont="1" applyFill="1" applyBorder="1" applyAlignment="1">
      <alignment horizontal="center" vertical="top" wrapText="1"/>
    </xf>
    <xf numFmtId="1" fontId="6" fillId="3" borderId="2" xfId="0" applyNumberFormat="1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vertical="top" wrapText="1"/>
    </xf>
    <xf numFmtId="0" fontId="15" fillId="3" borderId="0" xfId="0" applyFont="1" applyFill="1" applyBorder="1" applyAlignment="1">
      <alignment wrapText="1"/>
    </xf>
    <xf numFmtId="0" fontId="17" fillId="3" borderId="0" xfId="0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4" fontId="15" fillId="3" borderId="0" xfId="0" applyNumberFormat="1" applyFont="1" applyFill="1" applyBorder="1" applyAlignment="1">
      <alignment horizontal="center" vertical="center" wrapText="1"/>
    </xf>
    <xf numFmtId="4" fontId="17" fillId="3" borderId="0" xfId="1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4" fontId="17" fillId="3" borderId="0" xfId="1" applyNumberFormat="1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wrapText="1"/>
    </xf>
    <xf numFmtId="0" fontId="17" fillId="3" borderId="0" xfId="0" applyFont="1" applyFill="1" applyAlignment="1">
      <alignment horizontal="justify" vertical="top" wrapText="1"/>
    </xf>
    <xf numFmtId="0" fontId="17" fillId="3" borderId="0" xfId="0" applyFont="1" applyFill="1" applyAlignment="1">
      <alignment horizontal="justify" wrapText="1"/>
    </xf>
    <xf numFmtId="0" fontId="17" fillId="3" borderId="0" xfId="0" applyFont="1" applyFill="1" applyAlignment="1">
      <alignment horizontal="center" vertical="top" wrapText="1"/>
    </xf>
    <xf numFmtId="0" fontId="17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4" fontId="17" fillId="3" borderId="0" xfId="0" applyNumberFormat="1" applyFont="1" applyFill="1" applyAlignment="1">
      <alignment horizontal="center" vertical="center" wrapText="1"/>
    </xf>
    <xf numFmtId="0" fontId="5" fillId="3" borderId="9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4" fontId="17" fillId="0" borderId="2" xfId="0" applyNumberFormat="1" applyFont="1" applyFill="1" applyBorder="1" applyAlignment="1">
      <alignment horizontal="center" vertical="top" wrapText="1"/>
    </xf>
    <xf numFmtId="14" fontId="19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4" fontId="16" fillId="5" borderId="2" xfId="0" applyNumberFormat="1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top" wrapText="1"/>
    </xf>
    <xf numFmtId="14" fontId="6" fillId="0" borderId="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top" wrapText="1"/>
    </xf>
    <xf numFmtId="0" fontId="6" fillId="12" borderId="11" xfId="0" applyFont="1" applyFill="1" applyBorder="1" applyAlignment="1">
      <alignment horizontal="center" vertical="top" wrapText="1"/>
    </xf>
    <xf numFmtId="0" fontId="6" fillId="12" borderId="9" xfId="0" applyFont="1" applyFill="1" applyBorder="1" applyAlignment="1">
      <alignment horizontal="center" vertical="top" wrapText="1"/>
    </xf>
    <xf numFmtId="0" fontId="6" fillId="12" borderId="12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13" borderId="7" xfId="0" applyFont="1" applyFill="1" applyBorder="1" applyAlignment="1">
      <alignment horizontal="center" vertical="top" wrapText="1"/>
    </xf>
    <xf numFmtId="0" fontId="5" fillId="13" borderId="16" xfId="0" applyFont="1" applyFill="1" applyBorder="1" applyAlignment="1">
      <alignment horizontal="center" vertical="top" wrapText="1"/>
    </xf>
    <xf numFmtId="0" fontId="5" fillId="13" borderId="8" xfId="0" applyFont="1" applyFill="1" applyBorder="1" applyAlignment="1">
      <alignment horizontal="center" vertical="top" wrapText="1"/>
    </xf>
    <xf numFmtId="0" fontId="6" fillId="12" borderId="7" xfId="0" applyFont="1" applyFill="1" applyBorder="1" applyAlignment="1">
      <alignment horizontal="center" vertical="top" wrapText="1"/>
    </xf>
    <xf numFmtId="0" fontId="6" fillId="12" borderId="16" xfId="0" applyFont="1" applyFill="1" applyBorder="1" applyAlignment="1">
      <alignment horizontal="center" vertical="top" wrapText="1"/>
    </xf>
    <xf numFmtId="0" fontId="6" fillId="12" borderId="8" xfId="0" applyFont="1" applyFill="1" applyBorder="1" applyAlignment="1">
      <alignment horizontal="center" vertical="top" wrapText="1"/>
    </xf>
    <xf numFmtId="0" fontId="15" fillId="3" borderId="0" xfId="0" applyFont="1" applyFill="1" applyAlignment="1">
      <alignment horizontal="center" wrapText="1"/>
    </xf>
    <xf numFmtId="0" fontId="15" fillId="3" borderId="0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top" wrapText="1"/>
    </xf>
    <xf numFmtId="0" fontId="6" fillId="14" borderId="4" xfId="0" applyFont="1" applyFill="1" applyBorder="1" applyAlignment="1">
      <alignment horizontal="center" vertical="top" wrapText="1"/>
    </xf>
    <xf numFmtId="0" fontId="6" fillId="14" borderId="5" xfId="0" applyFont="1" applyFill="1" applyBorder="1" applyAlignment="1">
      <alignment horizontal="center" vertical="top" wrapText="1"/>
    </xf>
    <xf numFmtId="0" fontId="6" fillId="14" borderId="2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7" fillId="3" borderId="17" xfId="0" applyFont="1" applyFill="1" applyBorder="1" applyAlignment="1">
      <alignment horizontal="left" wrapText="1"/>
    </xf>
    <xf numFmtId="0" fontId="19" fillId="3" borderId="17" xfId="0" applyFont="1" applyFill="1" applyBorder="1" applyAlignment="1">
      <alignment horizontal="left" wrapText="1"/>
    </xf>
    <xf numFmtId="0" fontId="17" fillId="3" borderId="0" xfId="0" applyFont="1" applyFill="1" applyAlignment="1">
      <alignment horizontal="left" wrapText="1"/>
    </xf>
    <xf numFmtId="0" fontId="19" fillId="3" borderId="0" xfId="0" applyFont="1" applyFill="1" applyAlignment="1">
      <alignment horizontal="left" wrapText="1"/>
    </xf>
  </cellXfs>
  <cellStyles count="9">
    <cellStyle name="Excel Built-in Normal" xfId="4"/>
    <cellStyle name="Нейтральный" xfId="2" builtinId="28"/>
    <cellStyle name="Обычный" xfId="0" builtinId="0"/>
    <cellStyle name="Обычный 2" xfId="3"/>
    <cellStyle name="Обычный 2 2" xfId="5"/>
    <cellStyle name="Обычный 2 2 2" xfId="6"/>
    <cellStyle name="Обычный 2 3" xfId="7"/>
    <cellStyle name="Обычный 3" xfId="8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BE519"/>
  <sheetViews>
    <sheetView tabSelected="1" view="pageBreakPreview" topLeftCell="A100" zoomScale="80" zoomScaleNormal="60" zoomScaleSheetLayoutView="80" zoomScalePageLayoutView="50" workbookViewId="0">
      <selection activeCell="D104" sqref="D104"/>
    </sheetView>
  </sheetViews>
  <sheetFormatPr defaultColWidth="9.140625" defaultRowHeight="15.75" x14ac:dyDescent="0.2"/>
  <cols>
    <col min="1" max="1" width="5" style="82" customWidth="1"/>
    <col min="2" max="2" width="44.7109375" style="22" customWidth="1"/>
    <col min="3" max="3" width="9.85546875" style="22" customWidth="1"/>
    <col min="4" max="4" width="23.5703125" style="16" customWidth="1"/>
    <col min="5" max="5" width="14.85546875" style="12" customWidth="1"/>
    <col min="6" max="6" width="14.140625" style="176" customWidth="1"/>
    <col min="7" max="7" width="14.85546875" style="12" customWidth="1"/>
    <col min="8" max="8" width="44.5703125" style="12" customWidth="1"/>
    <col min="9" max="9" width="16.85546875" style="22" customWidth="1"/>
    <col min="10" max="11" width="16.5703125" style="22" customWidth="1"/>
    <col min="12" max="12" width="19.42578125" style="22" hidden="1" customWidth="1"/>
    <col min="13" max="15" width="46.28515625" style="176" hidden="1" customWidth="1"/>
    <col min="16" max="16" width="21" style="20" hidden="1" customWidth="1"/>
    <col min="17" max="17" width="14.140625" style="20" hidden="1" customWidth="1"/>
    <col min="18" max="18" width="19.42578125" style="20" hidden="1" customWidth="1"/>
    <col min="19" max="47" width="9.140625" style="20"/>
    <col min="48" max="16384" width="9.140625" style="10"/>
  </cols>
  <sheetData>
    <row r="1" spans="1:57" ht="15.75" customHeight="1" x14ac:dyDescent="0.2">
      <c r="B1" s="220"/>
      <c r="C1" s="221"/>
      <c r="D1" s="222"/>
      <c r="E1" s="223"/>
      <c r="F1" s="223"/>
      <c r="G1" s="223"/>
      <c r="H1" s="224"/>
      <c r="I1" s="225"/>
      <c r="J1" s="225"/>
      <c r="K1" s="226" t="s">
        <v>687</v>
      </c>
      <c r="M1" s="22"/>
      <c r="N1" s="16"/>
      <c r="P1" s="176"/>
      <c r="Q1" s="176"/>
      <c r="R1" s="176"/>
      <c r="S1" s="22"/>
      <c r="T1" s="22"/>
      <c r="U1" s="22"/>
      <c r="V1" s="22"/>
      <c r="W1" s="176"/>
      <c r="X1" s="176"/>
      <c r="Y1" s="176"/>
      <c r="AV1" s="20"/>
      <c r="AW1" s="20"/>
      <c r="AX1" s="20"/>
      <c r="AY1" s="20"/>
      <c r="AZ1" s="20"/>
      <c r="BA1" s="20"/>
      <c r="BB1" s="20"/>
      <c r="BC1" s="20"/>
      <c r="BD1" s="20"/>
      <c r="BE1" s="20"/>
    </row>
    <row r="2" spans="1:57" ht="9" customHeight="1" x14ac:dyDescent="0.2">
      <c r="B2" s="263" t="s">
        <v>688</v>
      </c>
      <c r="C2" s="263"/>
      <c r="D2" s="263"/>
      <c r="E2" s="263"/>
      <c r="F2" s="263"/>
      <c r="G2" s="263"/>
      <c r="H2" s="263"/>
      <c r="I2" s="263"/>
      <c r="J2" s="263"/>
      <c r="K2" s="263"/>
      <c r="M2" s="22"/>
      <c r="N2" s="16"/>
      <c r="P2" s="176"/>
      <c r="Q2" s="176"/>
      <c r="R2" s="176"/>
      <c r="S2" s="22"/>
      <c r="T2" s="22"/>
      <c r="U2" s="245"/>
      <c r="V2" s="245"/>
      <c r="W2" s="176"/>
      <c r="X2" s="176"/>
      <c r="Y2" s="176"/>
      <c r="AV2" s="20"/>
      <c r="AW2" s="20"/>
      <c r="AX2" s="20"/>
      <c r="AY2" s="20"/>
      <c r="AZ2" s="20"/>
      <c r="BA2" s="20"/>
      <c r="BB2" s="20"/>
      <c r="BC2" s="20"/>
      <c r="BD2" s="20"/>
      <c r="BE2" s="20"/>
    </row>
    <row r="3" spans="1:57" ht="27" customHeight="1" x14ac:dyDescent="0.2">
      <c r="B3" s="264"/>
      <c r="C3" s="264"/>
      <c r="D3" s="264"/>
      <c r="E3" s="264"/>
      <c r="F3" s="264"/>
      <c r="G3" s="264"/>
      <c r="H3" s="264"/>
      <c r="I3" s="264"/>
      <c r="J3" s="264"/>
      <c r="K3" s="264"/>
      <c r="M3" s="22"/>
      <c r="N3" s="16"/>
      <c r="P3" s="176"/>
      <c r="Q3" s="176"/>
      <c r="R3" s="176"/>
      <c r="S3" s="22"/>
      <c r="T3" s="22"/>
      <c r="U3" s="22"/>
      <c r="V3" s="176"/>
      <c r="W3" s="176"/>
      <c r="X3" s="176"/>
      <c r="Y3" s="176"/>
      <c r="AV3" s="20"/>
      <c r="AW3" s="20"/>
      <c r="AX3" s="20"/>
      <c r="AY3" s="20"/>
      <c r="AZ3" s="20"/>
      <c r="BA3" s="20"/>
      <c r="BB3" s="20"/>
      <c r="BC3" s="20"/>
      <c r="BD3" s="20"/>
      <c r="BE3" s="20"/>
    </row>
    <row r="4" spans="1:57" ht="23.25" customHeight="1" x14ac:dyDescent="0.2">
      <c r="B4" s="264" t="s">
        <v>689</v>
      </c>
      <c r="C4" s="264"/>
      <c r="D4" s="264"/>
      <c r="E4" s="264"/>
      <c r="F4" s="264"/>
      <c r="G4" s="264"/>
      <c r="H4" s="264"/>
      <c r="I4" s="264"/>
      <c r="J4" s="264"/>
      <c r="K4" s="264"/>
      <c r="M4" s="22"/>
      <c r="N4" s="16"/>
      <c r="P4" s="176"/>
      <c r="Q4" s="176"/>
      <c r="R4" s="176"/>
      <c r="S4" s="22"/>
      <c r="T4" s="22"/>
      <c r="U4" s="22"/>
      <c r="V4" s="22"/>
      <c r="W4" s="176"/>
      <c r="X4" s="176"/>
      <c r="Y4" s="176"/>
      <c r="AV4" s="20"/>
      <c r="AW4" s="20"/>
      <c r="AX4" s="20"/>
      <c r="AY4" s="20"/>
      <c r="AZ4" s="20"/>
      <c r="BA4" s="20"/>
      <c r="BB4" s="20"/>
      <c r="BC4" s="20"/>
      <c r="BD4" s="20"/>
      <c r="BE4" s="20"/>
    </row>
    <row r="5" spans="1:57" s="51" customFormat="1" ht="22.5" customHeight="1" x14ac:dyDescent="0.2">
      <c r="A5" s="83"/>
      <c r="B5" s="264" t="s">
        <v>691</v>
      </c>
      <c r="C5" s="264"/>
      <c r="D5" s="264"/>
      <c r="E5" s="264"/>
      <c r="F5" s="264"/>
      <c r="G5" s="264"/>
      <c r="H5" s="264"/>
      <c r="I5" s="264"/>
      <c r="J5" s="264"/>
      <c r="K5" s="264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174"/>
      <c r="X5" s="174"/>
      <c r="Y5" s="174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</row>
    <row r="6" spans="1:57" s="11" customFormat="1" ht="20.25" x14ac:dyDescent="0.25">
      <c r="A6" s="82"/>
      <c r="B6" s="265" t="s">
        <v>690</v>
      </c>
      <c r="C6" s="265"/>
      <c r="D6" s="265"/>
      <c r="E6" s="265"/>
      <c r="F6" s="265"/>
      <c r="G6" s="265"/>
      <c r="H6" s="265"/>
      <c r="I6" s="265"/>
      <c r="J6" s="265"/>
      <c r="K6" s="265"/>
      <c r="L6" s="1"/>
      <c r="M6" s="1"/>
      <c r="N6" s="68"/>
      <c r="O6" s="68"/>
      <c r="P6" s="68"/>
      <c r="Q6" s="68"/>
      <c r="R6" s="67"/>
      <c r="S6" s="237"/>
      <c r="T6" s="237"/>
      <c r="U6" s="237"/>
      <c r="V6" s="237"/>
      <c r="W6" s="179"/>
      <c r="X6" s="179"/>
      <c r="Y6" s="179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</row>
    <row r="7" spans="1:57" ht="75.75" customHeight="1" x14ac:dyDescent="0.2">
      <c r="A7" s="269" t="s">
        <v>0</v>
      </c>
      <c r="B7" s="246" t="s">
        <v>1</v>
      </c>
      <c r="C7" s="246" t="s">
        <v>697</v>
      </c>
      <c r="D7" s="246" t="s">
        <v>678</v>
      </c>
      <c r="E7" s="246" t="s">
        <v>2</v>
      </c>
      <c r="F7" s="246" t="s">
        <v>679</v>
      </c>
      <c r="G7" s="246" t="s">
        <v>3</v>
      </c>
      <c r="H7" s="251" t="s">
        <v>680</v>
      </c>
      <c r="I7" s="246" t="s">
        <v>703</v>
      </c>
      <c r="J7" s="246"/>
      <c r="K7" s="246" t="s">
        <v>682</v>
      </c>
      <c r="L7" s="254" t="s">
        <v>683</v>
      </c>
      <c r="M7" s="247" t="s">
        <v>686</v>
      </c>
      <c r="N7" s="257" t="s">
        <v>684</v>
      </c>
      <c r="O7" s="257" t="s">
        <v>685</v>
      </c>
      <c r="P7" s="260" t="s">
        <v>622</v>
      </c>
      <c r="Q7" s="260" t="s">
        <v>623</v>
      </c>
      <c r="R7" s="248" t="s">
        <v>624</v>
      </c>
      <c r="S7" s="42"/>
      <c r="T7" s="42"/>
      <c r="U7" s="42"/>
      <c r="V7" s="42"/>
      <c r="W7" s="42"/>
    </row>
    <row r="8" spans="1:57" ht="42" customHeight="1" x14ac:dyDescent="0.2">
      <c r="A8" s="269"/>
      <c r="B8" s="246"/>
      <c r="C8" s="246"/>
      <c r="D8" s="246"/>
      <c r="E8" s="246"/>
      <c r="F8" s="246"/>
      <c r="G8" s="246"/>
      <c r="H8" s="252"/>
      <c r="I8" s="267" t="s">
        <v>681</v>
      </c>
      <c r="J8" s="267" t="s">
        <v>705</v>
      </c>
      <c r="K8" s="246"/>
      <c r="L8" s="255"/>
      <c r="M8" s="247"/>
      <c r="N8" s="258"/>
      <c r="O8" s="258"/>
      <c r="P8" s="261"/>
      <c r="Q8" s="261"/>
      <c r="R8" s="249"/>
      <c r="S8" s="236"/>
      <c r="T8" s="42"/>
      <c r="U8" s="42"/>
      <c r="V8" s="42"/>
      <c r="W8" s="42"/>
    </row>
    <row r="9" spans="1:57" ht="118.5" customHeight="1" x14ac:dyDescent="0.2">
      <c r="A9" s="269"/>
      <c r="B9" s="246"/>
      <c r="C9" s="246"/>
      <c r="D9" s="246"/>
      <c r="E9" s="246"/>
      <c r="F9" s="246"/>
      <c r="G9" s="246"/>
      <c r="H9" s="253"/>
      <c r="I9" s="268"/>
      <c r="J9" s="268"/>
      <c r="K9" s="246"/>
      <c r="L9" s="256"/>
      <c r="M9" s="247"/>
      <c r="N9" s="259"/>
      <c r="O9" s="259"/>
      <c r="P9" s="262"/>
      <c r="Q9" s="262"/>
      <c r="R9" s="250"/>
      <c r="S9" s="236"/>
      <c r="T9" s="42"/>
      <c r="U9" s="42"/>
      <c r="V9" s="42"/>
      <c r="W9" s="42"/>
    </row>
    <row r="10" spans="1:57" s="47" customFormat="1" x14ac:dyDescent="0.25">
      <c r="A10" s="84">
        <v>1</v>
      </c>
      <c r="B10" s="186">
        <f>A10+1</f>
        <v>2</v>
      </c>
      <c r="C10" s="186">
        <f t="shared" ref="C10:R10" si="0">B10+1</f>
        <v>3</v>
      </c>
      <c r="D10" s="186">
        <f t="shared" si="0"/>
        <v>4</v>
      </c>
      <c r="E10" s="186">
        <f t="shared" si="0"/>
        <v>5</v>
      </c>
      <c r="F10" s="186">
        <f t="shared" si="0"/>
        <v>6</v>
      </c>
      <c r="G10" s="186">
        <f t="shared" si="0"/>
        <v>7</v>
      </c>
      <c r="H10" s="186">
        <f t="shared" si="0"/>
        <v>8</v>
      </c>
      <c r="I10" s="186">
        <f t="shared" si="0"/>
        <v>9</v>
      </c>
      <c r="J10" s="186">
        <f t="shared" si="0"/>
        <v>10</v>
      </c>
      <c r="K10" s="186">
        <f t="shared" si="0"/>
        <v>11</v>
      </c>
      <c r="L10" s="186">
        <f t="shared" si="0"/>
        <v>12</v>
      </c>
      <c r="M10" s="186">
        <f t="shared" si="0"/>
        <v>13</v>
      </c>
      <c r="N10" s="187">
        <f t="shared" si="0"/>
        <v>14</v>
      </c>
      <c r="O10" s="187">
        <f t="shared" si="0"/>
        <v>15</v>
      </c>
      <c r="P10" s="202">
        <f t="shared" si="0"/>
        <v>16</v>
      </c>
      <c r="Q10" s="202">
        <f t="shared" si="0"/>
        <v>17</v>
      </c>
      <c r="R10" s="180">
        <f t="shared" si="0"/>
        <v>18</v>
      </c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</row>
    <row r="11" spans="1:57" s="13" customFormat="1" x14ac:dyDescent="0.2">
      <c r="A11" s="85">
        <v>1</v>
      </c>
      <c r="B11" s="273" t="s">
        <v>4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173"/>
      <c r="N11" s="188"/>
      <c r="O11" s="188"/>
      <c r="P11" s="163"/>
      <c r="Q11" s="163"/>
      <c r="R11" s="177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</row>
    <row r="12" spans="1:57" s="11" customFormat="1" ht="133.5" customHeight="1" x14ac:dyDescent="0.2">
      <c r="A12" s="85">
        <f>A11+1</f>
        <v>2</v>
      </c>
      <c r="B12" s="52" t="s">
        <v>5</v>
      </c>
      <c r="C12" s="78"/>
      <c r="D12" s="62" t="s">
        <v>698</v>
      </c>
      <c r="E12" s="79">
        <v>41640</v>
      </c>
      <c r="F12" s="165">
        <v>41640</v>
      </c>
      <c r="G12" s="104">
        <v>42735</v>
      </c>
      <c r="H12" s="209"/>
      <c r="I12" s="54">
        <f>I13+I14+I15+I16</f>
        <v>2089.0644400000001</v>
      </c>
      <c r="J12" s="54">
        <f>J13+J14+J15+J16</f>
        <v>835.63</v>
      </c>
      <c r="K12" s="54">
        <f>K13+K14+K15+K16</f>
        <v>21.5</v>
      </c>
      <c r="L12" s="55">
        <v>0</v>
      </c>
      <c r="M12" s="171" t="s">
        <v>258</v>
      </c>
      <c r="N12" s="190"/>
      <c r="O12" s="190"/>
      <c r="P12" s="163"/>
      <c r="Q12" s="163"/>
      <c r="R12" s="163" t="s">
        <v>625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</row>
    <row r="13" spans="1:57" ht="133.5" customHeight="1" x14ac:dyDescent="0.2">
      <c r="A13" s="122">
        <f t="shared" ref="A13:A68" si="1">A12+1</f>
        <v>3</v>
      </c>
      <c r="B13" s="71" t="s">
        <v>448</v>
      </c>
      <c r="C13" s="76"/>
      <c r="D13" s="62" t="s">
        <v>698</v>
      </c>
      <c r="E13" s="79">
        <v>41640</v>
      </c>
      <c r="F13" s="165">
        <v>41640</v>
      </c>
      <c r="G13" s="104">
        <v>42735</v>
      </c>
      <c r="H13" s="209"/>
      <c r="I13" s="28">
        <f>540000/1000</f>
        <v>540</v>
      </c>
      <c r="J13" s="29">
        <v>216</v>
      </c>
      <c r="K13" s="29">
        <v>0</v>
      </c>
      <c r="L13" s="29">
        <v>0</v>
      </c>
      <c r="M13" s="166" t="s">
        <v>255</v>
      </c>
      <c r="N13" s="191"/>
      <c r="O13" s="191"/>
      <c r="P13" s="163" t="s">
        <v>626</v>
      </c>
      <c r="Q13" s="163" t="s">
        <v>627</v>
      </c>
      <c r="R13" s="180" t="s">
        <v>641</v>
      </c>
    </row>
    <row r="14" spans="1:57" ht="107.25" customHeight="1" x14ac:dyDescent="0.2">
      <c r="A14" s="122">
        <f t="shared" si="1"/>
        <v>4</v>
      </c>
      <c r="B14" s="71" t="s">
        <v>449</v>
      </c>
      <c r="C14" s="71"/>
      <c r="D14" s="62" t="s">
        <v>698</v>
      </c>
      <c r="E14" s="79">
        <v>41640</v>
      </c>
      <c r="F14" s="165">
        <v>41640</v>
      </c>
      <c r="G14" s="104">
        <v>42735</v>
      </c>
      <c r="H14" s="209"/>
      <c r="I14" s="28">
        <v>509.8</v>
      </c>
      <c r="J14" s="29">
        <v>203.92</v>
      </c>
      <c r="K14" s="29">
        <v>0</v>
      </c>
      <c r="L14" s="29">
        <v>0</v>
      </c>
      <c r="M14" s="166" t="s">
        <v>6</v>
      </c>
      <c r="N14" s="191"/>
      <c r="O14" s="191"/>
      <c r="P14" s="163" t="s">
        <v>626</v>
      </c>
      <c r="Q14" s="163" t="s">
        <v>627</v>
      </c>
      <c r="R14" s="180" t="s">
        <v>641</v>
      </c>
    </row>
    <row r="15" spans="1:57" ht="78.75" x14ac:dyDescent="0.2">
      <c r="A15" s="122">
        <f t="shared" si="1"/>
        <v>5</v>
      </c>
      <c r="B15" s="71" t="s">
        <v>450</v>
      </c>
      <c r="C15" s="71"/>
      <c r="D15" s="62" t="s">
        <v>698</v>
      </c>
      <c r="E15" s="79">
        <v>41640</v>
      </c>
      <c r="F15" s="165">
        <v>41640</v>
      </c>
      <c r="G15" s="104">
        <v>42735</v>
      </c>
      <c r="H15" s="209"/>
      <c r="I15" s="28">
        <v>767.8</v>
      </c>
      <c r="J15" s="29">
        <v>307.12</v>
      </c>
      <c r="K15" s="29">
        <v>21.5</v>
      </c>
      <c r="L15" s="29">
        <v>0</v>
      </c>
      <c r="M15" s="166" t="s">
        <v>7</v>
      </c>
      <c r="N15" s="191"/>
      <c r="O15" s="191"/>
      <c r="P15" s="163" t="s">
        <v>626</v>
      </c>
      <c r="Q15" s="163" t="s">
        <v>627</v>
      </c>
      <c r="R15" s="180" t="s">
        <v>676</v>
      </c>
    </row>
    <row r="16" spans="1:57" ht="105.75" customHeight="1" x14ac:dyDescent="0.2">
      <c r="A16" s="122">
        <f t="shared" si="1"/>
        <v>6</v>
      </c>
      <c r="B16" s="71" t="s">
        <v>451</v>
      </c>
      <c r="C16" s="71"/>
      <c r="D16" s="62" t="s">
        <v>698</v>
      </c>
      <c r="E16" s="79">
        <v>41640</v>
      </c>
      <c r="F16" s="165">
        <v>41640</v>
      </c>
      <c r="G16" s="104">
        <v>42735</v>
      </c>
      <c r="H16" s="209"/>
      <c r="I16" s="28">
        <f>271464.44/1000</f>
        <v>271.46444000000002</v>
      </c>
      <c r="J16" s="29">
        <v>108.59</v>
      </c>
      <c r="K16" s="29">
        <v>0</v>
      </c>
      <c r="L16" s="29">
        <v>0</v>
      </c>
      <c r="M16" s="166" t="s">
        <v>251</v>
      </c>
      <c r="N16" s="191"/>
      <c r="O16" s="191"/>
      <c r="P16" s="163" t="s">
        <v>626</v>
      </c>
      <c r="Q16" s="163" t="s">
        <v>627</v>
      </c>
      <c r="R16" s="180" t="s">
        <v>663</v>
      </c>
    </row>
    <row r="17" spans="1:47" s="14" customFormat="1" ht="94.5" x14ac:dyDescent="0.2">
      <c r="A17" s="122">
        <f t="shared" si="1"/>
        <v>7</v>
      </c>
      <c r="B17" s="81" t="s">
        <v>266</v>
      </c>
      <c r="C17" s="17"/>
      <c r="D17" s="107" t="s">
        <v>698</v>
      </c>
      <c r="E17" s="26" t="s">
        <v>8</v>
      </c>
      <c r="F17" s="26" t="s">
        <v>8</v>
      </c>
      <c r="G17" s="27">
        <v>42004</v>
      </c>
      <c r="H17" s="27"/>
      <c r="I17" s="26" t="s">
        <v>8</v>
      </c>
      <c r="J17" s="26" t="s">
        <v>8</v>
      </c>
      <c r="K17" s="26" t="s">
        <v>8</v>
      </c>
      <c r="L17" s="26" t="s">
        <v>8</v>
      </c>
      <c r="M17" s="26" t="s">
        <v>8</v>
      </c>
      <c r="N17" s="191"/>
      <c r="O17" s="191"/>
      <c r="P17" s="163"/>
      <c r="Q17" s="163"/>
      <c r="R17" s="163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</row>
    <row r="18" spans="1:47" s="89" customFormat="1" ht="94.5" x14ac:dyDescent="0.2">
      <c r="A18" s="122">
        <f t="shared" si="1"/>
        <v>8</v>
      </c>
      <c r="B18" s="114" t="s">
        <v>249</v>
      </c>
      <c r="C18" s="17"/>
      <c r="D18" s="114" t="s">
        <v>698</v>
      </c>
      <c r="E18" s="26" t="s">
        <v>8</v>
      </c>
      <c r="F18" s="26" t="s">
        <v>8</v>
      </c>
      <c r="G18" s="27">
        <v>42369</v>
      </c>
      <c r="H18" s="27"/>
      <c r="I18" s="26" t="s">
        <v>8</v>
      </c>
      <c r="J18" s="26" t="s">
        <v>8</v>
      </c>
      <c r="K18" s="26" t="s">
        <v>8</v>
      </c>
      <c r="L18" s="26" t="s">
        <v>8</v>
      </c>
      <c r="M18" s="26" t="s">
        <v>8</v>
      </c>
      <c r="N18" s="191"/>
      <c r="O18" s="191"/>
      <c r="P18" s="163"/>
      <c r="Q18" s="163"/>
      <c r="R18" s="163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7" s="89" customFormat="1" ht="94.5" x14ac:dyDescent="0.2">
      <c r="A19" s="122">
        <f t="shared" si="1"/>
        <v>9</v>
      </c>
      <c r="B19" s="114" t="s">
        <v>250</v>
      </c>
      <c r="C19" s="17"/>
      <c r="D19" s="114" t="s">
        <v>698</v>
      </c>
      <c r="E19" s="26" t="s">
        <v>8</v>
      </c>
      <c r="F19" s="26" t="s">
        <v>8</v>
      </c>
      <c r="G19" s="27">
        <v>42735</v>
      </c>
      <c r="H19" s="27"/>
      <c r="I19" s="26" t="s">
        <v>8</v>
      </c>
      <c r="J19" s="26" t="s">
        <v>8</v>
      </c>
      <c r="K19" s="26" t="s">
        <v>8</v>
      </c>
      <c r="L19" s="26" t="s">
        <v>8</v>
      </c>
      <c r="M19" s="26" t="s">
        <v>8</v>
      </c>
      <c r="N19" s="191"/>
      <c r="O19" s="191"/>
      <c r="P19" s="163"/>
      <c r="Q19" s="163"/>
      <c r="R19" s="163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7" s="11" customFormat="1" ht="134.25" customHeight="1" x14ac:dyDescent="0.2">
      <c r="A20" s="122">
        <f t="shared" si="1"/>
        <v>10</v>
      </c>
      <c r="B20" s="78" t="s">
        <v>9</v>
      </c>
      <c r="C20" s="78"/>
      <c r="D20" s="62" t="s">
        <v>698</v>
      </c>
      <c r="E20" s="79">
        <v>41640</v>
      </c>
      <c r="F20" s="165">
        <v>41640</v>
      </c>
      <c r="G20" s="79">
        <v>42735</v>
      </c>
      <c r="H20" s="209"/>
      <c r="I20" s="54">
        <f>I21</f>
        <v>6300</v>
      </c>
      <c r="J20" s="54">
        <f>J21</f>
        <v>4725</v>
      </c>
      <c r="K20" s="54">
        <f>K21</f>
        <v>6300</v>
      </c>
      <c r="L20" s="54">
        <f>L21</f>
        <v>6300</v>
      </c>
      <c r="M20" s="171" t="s">
        <v>10</v>
      </c>
      <c r="N20" s="190"/>
      <c r="O20" s="190"/>
      <c r="P20" s="163"/>
      <c r="Q20" s="163"/>
      <c r="R20" s="163" t="s">
        <v>630</v>
      </c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</row>
    <row r="21" spans="1:47" ht="131.25" customHeight="1" x14ac:dyDescent="0.2">
      <c r="A21" s="122">
        <f t="shared" si="1"/>
        <v>11</v>
      </c>
      <c r="B21" s="71" t="s">
        <v>452</v>
      </c>
      <c r="C21" s="71"/>
      <c r="D21" s="62" t="s">
        <v>698</v>
      </c>
      <c r="E21" s="79">
        <v>41640</v>
      </c>
      <c r="F21" s="165">
        <v>41640</v>
      </c>
      <c r="G21" s="80">
        <v>42735</v>
      </c>
      <c r="H21" s="80"/>
      <c r="I21" s="28">
        <f>6300000/1000</f>
        <v>6300</v>
      </c>
      <c r="J21" s="28">
        <v>4725</v>
      </c>
      <c r="K21" s="28">
        <v>6300</v>
      </c>
      <c r="L21" s="28">
        <f>6300000/1000</f>
        <v>6300</v>
      </c>
      <c r="M21" s="175" t="s">
        <v>11</v>
      </c>
      <c r="N21" s="191"/>
      <c r="O21" s="191"/>
      <c r="P21" s="163" t="s">
        <v>631</v>
      </c>
      <c r="Q21" s="163" t="s">
        <v>627</v>
      </c>
      <c r="R21" s="180" t="s">
        <v>632</v>
      </c>
    </row>
    <row r="22" spans="1:47" ht="78.75" x14ac:dyDescent="0.2">
      <c r="A22" s="122">
        <f t="shared" si="1"/>
        <v>12</v>
      </c>
      <c r="B22" s="71" t="s">
        <v>453</v>
      </c>
      <c r="C22" s="71"/>
      <c r="D22" s="62" t="s">
        <v>698</v>
      </c>
      <c r="E22" s="79">
        <v>41640</v>
      </c>
      <c r="F22" s="165">
        <v>41640</v>
      </c>
      <c r="G22" s="80">
        <v>42735</v>
      </c>
      <c r="H22" s="80"/>
      <c r="I22" s="36">
        <v>0</v>
      </c>
      <c r="J22" s="36">
        <v>0</v>
      </c>
      <c r="K22" s="36">
        <v>0</v>
      </c>
      <c r="L22" s="36">
        <v>0</v>
      </c>
      <c r="M22" s="166" t="s">
        <v>12</v>
      </c>
      <c r="N22" s="191"/>
      <c r="O22" s="191"/>
      <c r="P22" s="163" t="s">
        <v>631</v>
      </c>
      <c r="Q22" s="163" t="s">
        <v>627</v>
      </c>
      <c r="R22" s="180" t="s">
        <v>632</v>
      </c>
    </row>
    <row r="23" spans="1:47" s="14" customFormat="1" ht="131.25" customHeight="1" x14ac:dyDescent="0.2">
      <c r="A23" s="238">
        <f t="shared" si="1"/>
        <v>13</v>
      </c>
      <c r="B23" s="139" t="s">
        <v>706</v>
      </c>
      <c r="C23" s="17" t="s">
        <v>13</v>
      </c>
      <c r="D23" s="139" t="s">
        <v>698</v>
      </c>
      <c r="E23" s="26" t="s">
        <v>8</v>
      </c>
      <c r="F23" s="26" t="s">
        <v>8</v>
      </c>
      <c r="G23" s="27">
        <v>41728</v>
      </c>
      <c r="H23" s="243" t="s">
        <v>722</v>
      </c>
      <c r="I23" s="26" t="s">
        <v>8</v>
      </c>
      <c r="J23" s="26" t="s">
        <v>8</v>
      </c>
      <c r="K23" s="26" t="s">
        <v>8</v>
      </c>
      <c r="L23" s="26" t="s">
        <v>8</v>
      </c>
      <c r="M23" s="26" t="s">
        <v>8</v>
      </c>
      <c r="N23" s="191"/>
      <c r="O23" s="191"/>
      <c r="P23" s="163"/>
      <c r="Q23" s="163"/>
      <c r="R23" s="177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7" s="14" customFormat="1" ht="133.5" customHeight="1" x14ac:dyDescent="0.2">
      <c r="A24" s="122">
        <f t="shared" si="1"/>
        <v>14</v>
      </c>
      <c r="B24" s="81" t="s">
        <v>707</v>
      </c>
      <c r="C24" s="17" t="s">
        <v>13</v>
      </c>
      <c r="D24" s="139" t="s">
        <v>698</v>
      </c>
      <c r="E24" s="26" t="s">
        <v>8</v>
      </c>
      <c r="F24" s="26" t="s">
        <v>8</v>
      </c>
      <c r="G24" s="27">
        <v>42093</v>
      </c>
      <c r="H24" s="26"/>
      <c r="I24" s="26" t="s">
        <v>8</v>
      </c>
      <c r="J24" s="26" t="s">
        <v>8</v>
      </c>
      <c r="K24" s="26" t="s">
        <v>8</v>
      </c>
      <c r="L24" s="26" t="s">
        <v>8</v>
      </c>
      <c r="M24" s="26" t="s">
        <v>8</v>
      </c>
      <c r="N24" s="191"/>
      <c r="O24" s="191"/>
      <c r="P24" s="163"/>
      <c r="Q24" s="163"/>
      <c r="R24" s="177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1:47" s="14" customFormat="1" ht="135" customHeight="1" x14ac:dyDescent="0.2">
      <c r="A25" s="122">
        <f t="shared" si="1"/>
        <v>15</v>
      </c>
      <c r="B25" s="81" t="s">
        <v>708</v>
      </c>
      <c r="C25" s="17" t="s">
        <v>13</v>
      </c>
      <c r="D25" s="139" t="s">
        <v>698</v>
      </c>
      <c r="E25" s="26" t="s">
        <v>8</v>
      </c>
      <c r="F25" s="26" t="s">
        <v>8</v>
      </c>
      <c r="G25" s="27">
        <v>42459</v>
      </c>
      <c r="H25" s="26"/>
      <c r="I25" s="26" t="s">
        <v>8</v>
      </c>
      <c r="J25" s="26" t="s">
        <v>8</v>
      </c>
      <c r="K25" s="26" t="s">
        <v>8</v>
      </c>
      <c r="L25" s="26" t="s">
        <v>8</v>
      </c>
      <c r="M25" s="26" t="s">
        <v>8</v>
      </c>
      <c r="N25" s="191"/>
      <c r="O25" s="191"/>
      <c r="P25" s="163"/>
      <c r="Q25" s="163"/>
      <c r="R25" s="177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1:47" s="11" customFormat="1" ht="102.75" customHeight="1" x14ac:dyDescent="0.2">
      <c r="A26" s="122">
        <f t="shared" si="1"/>
        <v>16</v>
      </c>
      <c r="B26" s="91" t="s">
        <v>14</v>
      </c>
      <c r="C26" s="91"/>
      <c r="D26" s="140" t="s">
        <v>698</v>
      </c>
      <c r="E26" s="95">
        <v>41640</v>
      </c>
      <c r="F26" s="165">
        <v>41640</v>
      </c>
      <c r="G26" s="104">
        <v>42735</v>
      </c>
      <c r="H26" s="101"/>
      <c r="I26" s="30">
        <f>I27+I28</f>
        <v>1207.3800000000001</v>
      </c>
      <c r="J26" s="30">
        <f>J27+J28</f>
        <v>482.95</v>
      </c>
      <c r="K26" s="30">
        <f>K27+K28</f>
        <v>134.4</v>
      </c>
      <c r="L26" s="31">
        <v>0</v>
      </c>
      <c r="M26" s="137" t="s">
        <v>15</v>
      </c>
      <c r="N26" s="190"/>
      <c r="O26" s="190"/>
      <c r="P26" s="163"/>
      <c r="Q26" s="163"/>
      <c r="R26" s="163" t="s">
        <v>629</v>
      </c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</row>
    <row r="27" spans="1:47" ht="103.5" customHeight="1" x14ac:dyDescent="0.2">
      <c r="A27" s="122">
        <f t="shared" si="1"/>
        <v>17</v>
      </c>
      <c r="B27" s="92" t="s">
        <v>454</v>
      </c>
      <c r="C27" s="92"/>
      <c r="D27" s="140" t="s">
        <v>698</v>
      </c>
      <c r="E27" s="95">
        <v>41640</v>
      </c>
      <c r="F27" s="165">
        <v>41640</v>
      </c>
      <c r="G27" s="104">
        <v>42735</v>
      </c>
      <c r="H27" s="101"/>
      <c r="I27" s="28">
        <f>547380/1000</f>
        <v>547.38</v>
      </c>
      <c r="J27" s="24">
        <v>218.95</v>
      </c>
      <c r="K27" s="24">
        <v>0</v>
      </c>
      <c r="L27" s="24">
        <v>0</v>
      </c>
      <c r="M27" s="175" t="s">
        <v>346</v>
      </c>
      <c r="N27" s="191"/>
      <c r="O27" s="191"/>
      <c r="P27" s="163" t="s">
        <v>626</v>
      </c>
      <c r="Q27" s="163" t="s">
        <v>627</v>
      </c>
      <c r="R27" s="180" t="s">
        <v>641</v>
      </c>
    </row>
    <row r="28" spans="1:47" ht="99" customHeight="1" x14ac:dyDescent="0.2">
      <c r="A28" s="122">
        <f t="shared" si="1"/>
        <v>18</v>
      </c>
      <c r="B28" s="92" t="s">
        <v>455</v>
      </c>
      <c r="C28" s="52"/>
      <c r="D28" s="140" t="s">
        <v>698</v>
      </c>
      <c r="E28" s="95">
        <v>41640</v>
      </c>
      <c r="F28" s="165">
        <v>41640</v>
      </c>
      <c r="G28" s="104">
        <v>42735</v>
      </c>
      <c r="H28" s="101"/>
      <c r="I28" s="28">
        <f>660000/1000</f>
        <v>660</v>
      </c>
      <c r="J28" s="24">
        <v>264</v>
      </c>
      <c r="K28" s="24">
        <v>134.4</v>
      </c>
      <c r="L28" s="24">
        <v>0</v>
      </c>
      <c r="M28" s="175" t="s">
        <v>315</v>
      </c>
      <c r="N28" s="191"/>
      <c r="O28" s="191"/>
      <c r="P28" s="163" t="s">
        <v>633</v>
      </c>
      <c r="Q28" s="163" t="s">
        <v>627</v>
      </c>
      <c r="R28" s="180" t="s">
        <v>634</v>
      </c>
    </row>
    <row r="29" spans="1:47" s="14" customFormat="1" ht="78.75" x14ac:dyDescent="0.2">
      <c r="A29" s="122">
        <f t="shared" si="1"/>
        <v>19</v>
      </c>
      <c r="B29" s="114" t="s">
        <v>276</v>
      </c>
      <c r="C29" s="17"/>
      <c r="D29" s="107" t="s">
        <v>698</v>
      </c>
      <c r="E29" s="26" t="s">
        <v>8</v>
      </c>
      <c r="F29" s="26" t="s">
        <v>8</v>
      </c>
      <c r="G29" s="27">
        <v>42004</v>
      </c>
      <c r="H29" s="26"/>
      <c r="I29" s="26" t="s">
        <v>8</v>
      </c>
      <c r="J29" s="26" t="s">
        <v>8</v>
      </c>
      <c r="K29" s="26" t="s">
        <v>8</v>
      </c>
      <c r="L29" s="26" t="s">
        <v>8</v>
      </c>
      <c r="M29" s="26" t="s">
        <v>8</v>
      </c>
      <c r="N29" s="191"/>
      <c r="O29" s="191"/>
      <c r="P29" s="163"/>
      <c r="Q29" s="163"/>
      <c r="R29" s="177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1:47" s="11" customFormat="1" ht="78.75" x14ac:dyDescent="0.2">
      <c r="A30" s="122">
        <f t="shared" si="1"/>
        <v>20</v>
      </c>
      <c r="B30" s="114" t="s">
        <v>277</v>
      </c>
      <c r="C30" s="17"/>
      <c r="D30" s="114" t="s">
        <v>698</v>
      </c>
      <c r="E30" s="26" t="s">
        <v>8</v>
      </c>
      <c r="F30" s="26" t="s">
        <v>8</v>
      </c>
      <c r="G30" s="27">
        <v>42369</v>
      </c>
      <c r="H30" s="26"/>
      <c r="I30" s="26" t="s">
        <v>8</v>
      </c>
      <c r="J30" s="26" t="s">
        <v>8</v>
      </c>
      <c r="K30" s="26" t="s">
        <v>8</v>
      </c>
      <c r="L30" s="26" t="s">
        <v>8</v>
      </c>
      <c r="M30" s="26" t="s">
        <v>8</v>
      </c>
      <c r="N30" s="191"/>
      <c r="O30" s="191"/>
      <c r="P30" s="163"/>
      <c r="Q30" s="163"/>
      <c r="R30" s="17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</row>
    <row r="31" spans="1:47" ht="78.75" x14ac:dyDescent="0.2">
      <c r="A31" s="122">
        <f t="shared" si="1"/>
        <v>21</v>
      </c>
      <c r="B31" s="114" t="s">
        <v>278</v>
      </c>
      <c r="C31" s="17"/>
      <c r="D31" s="114" t="s">
        <v>698</v>
      </c>
      <c r="E31" s="26" t="s">
        <v>8</v>
      </c>
      <c r="F31" s="26" t="s">
        <v>8</v>
      </c>
      <c r="G31" s="27">
        <v>42735</v>
      </c>
      <c r="H31" s="26"/>
      <c r="I31" s="26" t="s">
        <v>8</v>
      </c>
      <c r="J31" s="26" t="s">
        <v>8</v>
      </c>
      <c r="K31" s="26" t="s">
        <v>8</v>
      </c>
      <c r="L31" s="26" t="s">
        <v>8</v>
      </c>
      <c r="M31" s="26" t="s">
        <v>8</v>
      </c>
      <c r="N31" s="191"/>
      <c r="O31" s="191"/>
      <c r="P31" s="163"/>
      <c r="Q31" s="163"/>
      <c r="R31" s="177"/>
    </row>
    <row r="32" spans="1:47" ht="162" customHeight="1" x14ac:dyDescent="0.2">
      <c r="A32" s="122">
        <f t="shared" si="1"/>
        <v>22</v>
      </c>
      <c r="B32" s="94" t="s">
        <v>16</v>
      </c>
      <c r="C32" s="94"/>
      <c r="D32" s="62" t="s">
        <v>699</v>
      </c>
      <c r="E32" s="95">
        <v>41640</v>
      </c>
      <c r="F32" s="165">
        <v>41640</v>
      </c>
      <c r="G32" s="104">
        <v>42735</v>
      </c>
      <c r="H32" s="101"/>
      <c r="I32" s="54">
        <f>SUM(I33:I34)</f>
        <v>750</v>
      </c>
      <c r="J32" s="54">
        <f>SUM(J33:J34)</f>
        <v>225</v>
      </c>
      <c r="K32" s="54">
        <v>0</v>
      </c>
      <c r="L32" s="54">
        <v>0</v>
      </c>
      <c r="M32" s="137" t="s">
        <v>17</v>
      </c>
      <c r="N32" s="190"/>
      <c r="O32" s="190"/>
      <c r="P32" s="163"/>
      <c r="Q32" s="163"/>
      <c r="R32" s="163" t="s">
        <v>629</v>
      </c>
    </row>
    <row r="33" spans="1:47" s="14" customFormat="1" ht="135.75" customHeight="1" x14ac:dyDescent="0.2">
      <c r="A33" s="122">
        <f t="shared" si="1"/>
        <v>23</v>
      </c>
      <c r="B33" s="92" t="s">
        <v>456</v>
      </c>
      <c r="C33" s="52"/>
      <c r="D33" s="62" t="s">
        <v>699</v>
      </c>
      <c r="E33" s="103">
        <v>41821</v>
      </c>
      <c r="F33" s="172">
        <v>41821</v>
      </c>
      <c r="G33" s="105">
        <v>42735</v>
      </c>
      <c r="H33" s="101"/>
      <c r="I33" s="32">
        <f>750000/1000</f>
        <v>750</v>
      </c>
      <c r="J33" s="25">
        <v>225</v>
      </c>
      <c r="K33" s="25">
        <v>0</v>
      </c>
      <c r="L33" s="25">
        <v>0</v>
      </c>
      <c r="M33" s="175" t="s">
        <v>267</v>
      </c>
      <c r="N33" s="191"/>
      <c r="O33" s="191"/>
      <c r="P33" s="163" t="s">
        <v>633</v>
      </c>
      <c r="Q33" s="163" t="s">
        <v>627</v>
      </c>
      <c r="R33" s="180" t="s">
        <v>635</v>
      </c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</row>
    <row r="34" spans="1:47" s="14" customFormat="1" ht="143.25" customHeight="1" x14ac:dyDescent="0.2">
      <c r="A34" s="122">
        <f t="shared" si="1"/>
        <v>24</v>
      </c>
      <c r="B34" s="93" t="s">
        <v>18</v>
      </c>
      <c r="C34" s="93"/>
      <c r="D34" s="62" t="s">
        <v>699</v>
      </c>
      <c r="E34" s="95">
        <v>41640</v>
      </c>
      <c r="F34" s="165">
        <v>41640</v>
      </c>
      <c r="G34" s="95">
        <v>41820</v>
      </c>
      <c r="H34" s="244" t="s">
        <v>721</v>
      </c>
      <c r="I34" s="57">
        <v>0</v>
      </c>
      <c r="J34" s="63">
        <v>0</v>
      </c>
      <c r="K34" s="63">
        <v>0</v>
      </c>
      <c r="L34" s="63">
        <v>0</v>
      </c>
      <c r="M34" s="175" t="s">
        <v>256</v>
      </c>
      <c r="N34" s="191"/>
      <c r="O34" s="191"/>
      <c r="P34" s="163" t="s">
        <v>633</v>
      </c>
      <c r="Q34" s="163"/>
      <c r="R34" s="181" t="s">
        <v>635</v>
      </c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1:47" s="14" customFormat="1" ht="102" customHeight="1" x14ac:dyDescent="0.2">
      <c r="A35" s="122">
        <f t="shared" si="1"/>
        <v>25</v>
      </c>
      <c r="B35" s="114" t="s">
        <v>279</v>
      </c>
      <c r="C35" s="17" t="s">
        <v>13</v>
      </c>
      <c r="D35" s="107" t="s">
        <v>699</v>
      </c>
      <c r="E35" s="26" t="s">
        <v>8</v>
      </c>
      <c r="F35" s="26" t="s">
        <v>8</v>
      </c>
      <c r="G35" s="27">
        <v>42004</v>
      </c>
      <c r="H35" s="26"/>
      <c r="I35" s="26" t="s">
        <v>8</v>
      </c>
      <c r="J35" s="26" t="s">
        <v>8</v>
      </c>
      <c r="K35" s="26" t="s">
        <v>8</v>
      </c>
      <c r="L35" s="26" t="s">
        <v>8</v>
      </c>
      <c r="M35" s="26" t="s">
        <v>8</v>
      </c>
      <c r="N35" s="191"/>
      <c r="O35" s="191"/>
      <c r="P35" s="163"/>
      <c r="Q35" s="163"/>
      <c r="R35" s="177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</row>
    <row r="36" spans="1:47" s="11" customFormat="1" ht="78.75" x14ac:dyDescent="0.2">
      <c r="A36" s="122">
        <f t="shared" si="1"/>
        <v>26</v>
      </c>
      <c r="B36" s="114" t="s">
        <v>280</v>
      </c>
      <c r="C36" s="17" t="s">
        <v>13</v>
      </c>
      <c r="D36" s="114" t="s">
        <v>699</v>
      </c>
      <c r="E36" s="26" t="s">
        <v>8</v>
      </c>
      <c r="F36" s="26" t="s">
        <v>8</v>
      </c>
      <c r="G36" s="27">
        <v>42369</v>
      </c>
      <c r="H36" s="26"/>
      <c r="I36" s="26" t="s">
        <v>8</v>
      </c>
      <c r="J36" s="26" t="s">
        <v>8</v>
      </c>
      <c r="K36" s="26" t="s">
        <v>8</v>
      </c>
      <c r="L36" s="26" t="s">
        <v>8</v>
      </c>
      <c r="M36" s="26" t="s">
        <v>8</v>
      </c>
      <c r="N36" s="191"/>
      <c r="O36" s="191"/>
      <c r="P36" s="163"/>
      <c r="Q36" s="163"/>
      <c r="R36" s="17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</row>
    <row r="37" spans="1:47" ht="108" customHeight="1" x14ac:dyDescent="0.2">
      <c r="A37" s="122">
        <f t="shared" si="1"/>
        <v>27</v>
      </c>
      <c r="B37" s="114" t="s">
        <v>281</v>
      </c>
      <c r="C37" s="17" t="s">
        <v>13</v>
      </c>
      <c r="D37" s="114" t="s">
        <v>699</v>
      </c>
      <c r="E37" s="26" t="s">
        <v>8</v>
      </c>
      <c r="F37" s="26" t="s">
        <v>8</v>
      </c>
      <c r="G37" s="27">
        <v>42735</v>
      </c>
      <c r="H37" s="26"/>
      <c r="I37" s="26" t="s">
        <v>8</v>
      </c>
      <c r="J37" s="26" t="s">
        <v>8</v>
      </c>
      <c r="K37" s="26" t="s">
        <v>8</v>
      </c>
      <c r="L37" s="26" t="s">
        <v>8</v>
      </c>
      <c r="M37" s="26" t="s">
        <v>8</v>
      </c>
      <c r="N37" s="191"/>
      <c r="O37" s="191"/>
      <c r="P37" s="163"/>
      <c r="Q37" s="163"/>
      <c r="R37" s="177"/>
    </row>
    <row r="38" spans="1:47" s="40" customFormat="1" ht="126" x14ac:dyDescent="0.2">
      <c r="A38" s="122">
        <f t="shared" si="1"/>
        <v>28</v>
      </c>
      <c r="B38" s="70" t="s">
        <v>244</v>
      </c>
      <c r="C38" s="70"/>
      <c r="D38" s="140" t="s">
        <v>699</v>
      </c>
      <c r="E38" s="79">
        <v>41640</v>
      </c>
      <c r="F38" s="165">
        <v>41640</v>
      </c>
      <c r="G38" s="79">
        <v>42735</v>
      </c>
      <c r="H38" s="101"/>
      <c r="I38" s="23">
        <f>SUM(I39:I40)</f>
        <v>450.90820000000002</v>
      </c>
      <c r="J38" s="23">
        <f>SUM(J39:J40)</f>
        <v>180.36</v>
      </c>
      <c r="K38" s="23">
        <f>SUM(K39:K40)</f>
        <v>0</v>
      </c>
      <c r="L38" s="23">
        <f>SUM(L39:L40)</f>
        <v>450.90820000000002</v>
      </c>
      <c r="M38" s="167" t="s">
        <v>19</v>
      </c>
      <c r="N38" s="190"/>
      <c r="O38" s="190"/>
      <c r="P38" s="163"/>
      <c r="Q38" s="163"/>
      <c r="R38" s="157" t="s">
        <v>636</v>
      </c>
    </row>
    <row r="39" spans="1:47" s="20" customFormat="1" ht="78.75" x14ac:dyDescent="0.2">
      <c r="A39" s="122">
        <f t="shared" si="1"/>
        <v>29</v>
      </c>
      <c r="B39" s="71" t="s">
        <v>457</v>
      </c>
      <c r="C39" s="71"/>
      <c r="D39" s="140" t="s">
        <v>699</v>
      </c>
      <c r="E39" s="79">
        <v>41640</v>
      </c>
      <c r="F39" s="165">
        <v>41640</v>
      </c>
      <c r="G39" s="79">
        <v>42735</v>
      </c>
      <c r="H39" s="101"/>
      <c r="I39" s="32">
        <f>450908.2/1000</f>
        <v>450.90820000000002</v>
      </c>
      <c r="J39" s="25">
        <v>180.36</v>
      </c>
      <c r="K39" s="32">
        <v>0</v>
      </c>
      <c r="L39" s="32">
        <f>450908.2/1000</f>
        <v>450.90820000000002</v>
      </c>
      <c r="M39" s="175" t="s">
        <v>252</v>
      </c>
      <c r="N39" s="191"/>
      <c r="O39" s="191"/>
      <c r="P39" s="158" t="s">
        <v>626</v>
      </c>
      <c r="Q39" s="158" t="s">
        <v>627</v>
      </c>
      <c r="R39" s="182" t="s">
        <v>663</v>
      </c>
    </row>
    <row r="40" spans="1:47" s="5" customFormat="1" ht="78.75" x14ac:dyDescent="0.2">
      <c r="A40" s="122">
        <f t="shared" si="1"/>
        <v>30</v>
      </c>
      <c r="B40" s="71" t="s">
        <v>20</v>
      </c>
      <c r="C40" s="71"/>
      <c r="D40" s="140" t="s">
        <v>699</v>
      </c>
      <c r="E40" s="79">
        <v>41640</v>
      </c>
      <c r="F40" s="165">
        <v>41640</v>
      </c>
      <c r="G40" s="79">
        <v>42735</v>
      </c>
      <c r="H40" s="53"/>
      <c r="I40" s="32">
        <v>0</v>
      </c>
      <c r="J40" s="25">
        <v>0</v>
      </c>
      <c r="K40" s="32">
        <v>0</v>
      </c>
      <c r="L40" s="32">
        <v>0</v>
      </c>
      <c r="M40" s="166" t="s">
        <v>21</v>
      </c>
      <c r="N40" s="191"/>
      <c r="O40" s="191"/>
      <c r="P40" s="158" t="s">
        <v>626</v>
      </c>
      <c r="Q40" s="158" t="s">
        <v>627</v>
      </c>
      <c r="R40" s="180" t="s">
        <v>637</v>
      </c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7" s="5" customFormat="1" ht="78.75" x14ac:dyDescent="0.2">
      <c r="A41" s="122">
        <f t="shared" si="1"/>
        <v>31</v>
      </c>
      <c r="B41" s="81" t="s">
        <v>282</v>
      </c>
      <c r="C41" s="17"/>
      <c r="D41" s="107" t="s">
        <v>699</v>
      </c>
      <c r="E41" s="26" t="s">
        <v>8</v>
      </c>
      <c r="F41" s="26" t="s">
        <v>8</v>
      </c>
      <c r="G41" s="27">
        <v>42004</v>
      </c>
      <c r="H41" s="26"/>
      <c r="I41" s="26" t="s">
        <v>8</v>
      </c>
      <c r="J41" s="26" t="s">
        <v>8</v>
      </c>
      <c r="K41" s="26" t="s">
        <v>8</v>
      </c>
      <c r="L41" s="26" t="s">
        <v>8</v>
      </c>
      <c r="M41" s="26" t="s">
        <v>8</v>
      </c>
      <c r="N41" s="191"/>
      <c r="O41" s="191"/>
      <c r="P41" s="163"/>
      <c r="Q41" s="163"/>
      <c r="R41" s="177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7" s="5" customFormat="1" ht="78.75" x14ac:dyDescent="0.2">
      <c r="A42" s="122">
        <f t="shared" si="1"/>
        <v>32</v>
      </c>
      <c r="B42" s="81" t="s">
        <v>283</v>
      </c>
      <c r="C42" s="17"/>
      <c r="D42" s="107" t="s">
        <v>699</v>
      </c>
      <c r="E42" s="26" t="s">
        <v>8</v>
      </c>
      <c r="F42" s="26" t="s">
        <v>8</v>
      </c>
      <c r="G42" s="27">
        <v>42369</v>
      </c>
      <c r="H42" s="26"/>
      <c r="I42" s="26" t="s">
        <v>8</v>
      </c>
      <c r="J42" s="26" t="s">
        <v>8</v>
      </c>
      <c r="K42" s="26" t="s">
        <v>8</v>
      </c>
      <c r="L42" s="26" t="s">
        <v>8</v>
      </c>
      <c r="M42" s="26" t="s">
        <v>8</v>
      </c>
      <c r="N42" s="191"/>
      <c r="O42" s="191"/>
      <c r="P42" s="163"/>
      <c r="Q42" s="163"/>
      <c r="R42" s="177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7" s="11" customFormat="1" ht="78.75" x14ac:dyDescent="0.2">
      <c r="A43" s="122">
        <f t="shared" si="1"/>
        <v>33</v>
      </c>
      <c r="B43" s="81" t="s">
        <v>284</v>
      </c>
      <c r="C43" s="17"/>
      <c r="D43" s="107" t="s">
        <v>699</v>
      </c>
      <c r="E43" s="26" t="s">
        <v>8</v>
      </c>
      <c r="F43" s="26" t="s">
        <v>8</v>
      </c>
      <c r="G43" s="27">
        <v>42735</v>
      </c>
      <c r="H43" s="26"/>
      <c r="I43" s="26" t="s">
        <v>8</v>
      </c>
      <c r="J43" s="26" t="s">
        <v>8</v>
      </c>
      <c r="K43" s="26" t="s">
        <v>8</v>
      </c>
      <c r="L43" s="26" t="s">
        <v>8</v>
      </c>
      <c r="M43" s="26" t="s">
        <v>8</v>
      </c>
      <c r="N43" s="191"/>
      <c r="O43" s="191"/>
      <c r="P43" s="163"/>
      <c r="Q43" s="163"/>
      <c r="R43" s="17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</row>
    <row r="44" spans="1:47" ht="92.25" customHeight="1" x14ac:dyDescent="0.2">
      <c r="A44" s="122">
        <f t="shared" si="1"/>
        <v>34</v>
      </c>
      <c r="B44" s="78" t="s">
        <v>22</v>
      </c>
      <c r="C44" s="78"/>
      <c r="D44" s="62" t="s">
        <v>698</v>
      </c>
      <c r="E44" s="79">
        <v>41640</v>
      </c>
      <c r="F44" s="165">
        <v>41640</v>
      </c>
      <c r="G44" s="79">
        <v>42735</v>
      </c>
      <c r="H44" s="101"/>
      <c r="I44" s="54">
        <f>SUM(I45:I46)</f>
        <v>1250</v>
      </c>
      <c r="J44" s="54">
        <f t="shared" ref="J44:K44" si="2">SUM(J45:J46)</f>
        <v>500</v>
      </c>
      <c r="K44" s="54">
        <f t="shared" si="2"/>
        <v>0</v>
      </c>
      <c r="L44" s="54">
        <f>SUM(L45:L46)</f>
        <v>1250</v>
      </c>
      <c r="M44" s="171" t="s">
        <v>23</v>
      </c>
      <c r="N44" s="190"/>
      <c r="O44" s="190"/>
      <c r="P44" s="163"/>
      <c r="Q44" s="163"/>
      <c r="R44" s="157" t="s">
        <v>636</v>
      </c>
    </row>
    <row r="45" spans="1:47" s="15" customFormat="1" ht="78.75" x14ac:dyDescent="0.2">
      <c r="A45" s="122">
        <f t="shared" si="1"/>
        <v>35</v>
      </c>
      <c r="B45" s="71" t="s">
        <v>458</v>
      </c>
      <c r="C45" s="71"/>
      <c r="D45" s="62" t="s">
        <v>698</v>
      </c>
      <c r="E45" s="79">
        <v>41730</v>
      </c>
      <c r="F45" s="165">
        <v>41730</v>
      </c>
      <c r="G45" s="79">
        <v>42735</v>
      </c>
      <c r="H45" s="101"/>
      <c r="I45" s="32">
        <f>1250000/1000</f>
        <v>1250</v>
      </c>
      <c r="J45" s="32">
        <v>500</v>
      </c>
      <c r="K45" s="32">
        <v>0</v>
      </c>
      <c r="L45" s="32">
        <f>1250000/1000</f>
        <v>1250</v>
      </c>
      <c r="M45" s="166" t="s">
        <v>24</v>
      </c>
      <c r="N45" s="191"/>
      <c r="O45" s="191"/>
      <c r="P45" s="158" t="s">
        <v>626</v>
      </c>
      <c r="Q45" s="158" t="s">
        <v>627</v>
      </c>
      <c r="R45" s="182" t="s">
        <v>663</v>
      </c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</row>
    <row r="46" spans="1:47" s="15" customFormat="1" ht="126" customHeight="1" x14ac:dyDescent="0.2">
      <c r="A46" s="122">
        <f t="shared" si="1"/>
        <v>36</v>
      </c>
      <c r="B46" s="72" t="s">
        <v>25</v>
      </c>
      <c r="C46" s="78"/>
      <c r="D46" s="62" t="s">
        <v>698</v>
      </c>
      <c r="E46" s="79">
        <v>41640</v>
      </c>
      <c r="F46" s="165">
        <v>41640</v>
      </c>
      <c r="G46" s="79">
        <v>41729</v>
      </c>
      <c r="H46" s="239" t="s">
        <v>717</v>
      </c>
      <c r="I46" s="57">
        <v>0</v>
      </c>
      <c r="J46" s="59">
        <v>0</v>
      </c>
      <c r="K46" s="57">
        <v>0</v>
      </c>
      <c r="L46" s="57">
        <v>0</v>
      </c>
      <c r="M46" s="164" t="s">
        <v>26</v>
      </c>
      <c r="N46" s="191"/>
      <c r="O46" s="191"/>
      <c r="P46" s="158" t="s">
        <v>626</v>
      </c>
      <c r="Q46" s="158" t="s">
        <v>627</v>
      </c>
      <c r="R46" s="180" t="s">
        <v>637</v>
      </c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</row>
    <row r="47" spans="1:47" s="14" customFormat="1" ht="114" customHeight="1" x14ac:dyDescent="0.2">
      <c r="A47" s="238">
        <f t="shared" si="1"/>
        <v>37</v>
      </c>
      <c r="B47" s="139" t="s">
        <v>285</v>
      </c>
      <c r="C47" s="17" t="s">
        <v>13</v>
      </c>
      <c r="D47" s="139" t="s">
        <v>698</v>
      </c>
      <c r="E47" s="26" t="s">
        <v>8</v>
      </c>
      <c r="F47" s="26" t="s">
        <v>8</v>
      </c>
      <c r="G47" s="27">
        <v>41912</v>
      </c>
      <c r="H47" s="241" t="s">
        <v>718</v>
      </c>
      <c r="I47" s="26" t="s">
        <v>8</v>
      </c>
      <c r="J47" s="26" t="s">
        <v>8</v>
      </c>
      <c r="K47" s="26" t="s">
        <v>8</v>
      </c>
      <c r="L47" s="26" t="s">
        <v>8</v>
      </c>
      <c r="M47" s="26" t="s">
        <v>8</v>
      </c>
      <c r="N47" s="191"/>
      <c r="O47" s="191"/>
      <c r="P47" s="163"/>
      <c r="Q47" s="163"/>
      <c r="R47" s="17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s="14" customFormat="1" ht="78.75" x14ac:dyDescent="0.2">
      <c r="A48" s="122">
        <f t="shared" si="1"/>
        <v>38</v>
      </c>
      <c r="B48" s="81" t="s">
        <v>286</v>
      </c>
      <c r="C48" s="17" t="s">
        <v>13</v>
      </c>
      <c r="D48" s="107" t="s">
        <v>698</v>
      </c>
      <c r="E48" s="26" t="s">
        <v>8</v>
      </c>
      <c r="F48" s="26" t="s">
        <v>8</v>
      </c>
      <c r="G48" s="27">
        <v>42277</v>
      </c>
      <c r="H48" s="26"/>
      <c r="I48" s="26" t="s">
        <v>8</v>
      </c>
      <c r="J48" s="26" t="s">
        <v>8</v>
      </c>
      <c r="K48" s="26" t="s">
        <v>8</v>
      </c>
      <c r="L48" s="26" t="s">
        <v>8</v>
      </c>
      <c r="M48" s="26" t="s">
        <v>8</v>
      </c>
      <c r="N48" s="191"/>
      <c r="O48" s="191"/>
      <c r="P48" s="163"/>
      <c r="Q48" s="163"/>
      <c r="R48" s="17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s="11" customFormat="1" ht="78.75" x14ac:dyDescent="0.2">
      <c r="A49" s="122">
        <f t="shared" si="1"/>
        <v>39</v>
      </c>
      <c r="B49" s="81" t="s">
        <v>287</v>
      </c>
      <c r="C49" s="17" t="s">
        <v>13</v>
      </c>
      <c r="D49" s="107" t="s">
        <v>698</v>
      </c>
      <c r="E49" s="26" t="s">
        <v>8</v>
      </c>
      <c r="F49" s="26" t="s">
        <v>8</v>
      </c>
      <c r="G49" s="27">
        <v>42643</v>
      </c>
      <c r="H49" s="26"/>
      <c r="I49" s="26" t="s">
        <v>8</v>
      </c>
      <c r="J49" s="26" t="s">
        <v>8</v>
      </c>
      <c r="K49" s="26" t="s">
        <v>8</v>
      </c>
      <c r="L49" s="26" t="s">
        <v>8</v>
      </c>
      <c r="M49" s="26" t="s">
        <v>8</v>
      </c>
      <c r="N49" s="191"/>
      <c r="O49" s="191"/>
      <c r="P49" s="163"/>
      <c r="Q49" s="163"/>
      <c r="R49" s="17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</row>
    <row r="50" spans="1:47" ht="152.25" customHeight="1" x14ac:dyDescent="0.2">
      <c r="A50" s="122">
        <f t="shared" si="1"/>
        <v>40</v>
      </c>
      <c r="B50" s="78" t="s">
        <v>27</v>
      </c>
      <c r="C50" s="78"/>
      <c r="D50" s="62" t="s">
        <v>698</v>
      </c>
      <c r="E50" s="105">
        <v>41640</v>
      </c>
      <c r="F50" s="172">
        <v>41640</v>
      </c>
      <c r="G50" s="105">
        <v>42735</v>
      </c>
      <c r="H50" s="75"/>
      <c r="I50" s="55">
        <v>0</v>
      </c>
      <c r="J50" s="55">
        <v>0</v>
      </c>
      <c r="K50" s="55">
        <v>0</v>
      </c>
      <c r="L50" s="55">
        <v>0</v>
      </c>
      <c r="M50" s="171" t="s">
        <v>28</v>
      </c>
      <c r="N50" s="190"/>
      <c r="O50" s="190"/>
      <c r="P50" s="163"/>
      <c r="Q50" s="163"/>
      <c r="R50" s="157" t="s">
        <v>636</v>
      </c>
    </row>
    <row r="51" spans="1:47" ht="111" customHeight="1" x14ac:dyDescent="0.2">
      <c r="A51" s="122">
        <f t="shared" si="1"/>
        <v>41</v>
      </c>
      <c r="B51" s="73" t="s">
        <v>29</v>
      </c>
      <c r="C51" s="72"/>
      <c r="D51" s="62" t="s">
        <v>698</v>
      </c>
      <c r="E51" s="105">
        <v>41640</v>
      </c>
      <c r="F51" s="172">
        <v>41640</v>
      </c>
      <c r="G51" s="105">
        <v>42735</v>
      </c>
      <c r="H51" s="75"/>
      <c r="I51" s="59">
        <v>0</v>
      </c>
      <c r="J51" s="59">
        <v>0</v>
      </c>
      <c r="K51" s="59">
        <v>0</v>
      </c>
      <c r="L51" s="59">
        <v>0</v>
      </c>
      <c r="M51" s="175" t="s">
        <v>259</v>
      </c>
      <c r="N51" s="191"/>
      <c r="O51" s="191"/>
      <c r="P51" s="158" t="s">
        <v>626</v>
      </c>
      <c r="Q51" s="163" t="s">
        <v>627</v>
      </c>
      <c r="R51" s="181" t="s">
        <v>638</v>
      </c>
    </row>
    <row r="52" spans="1:47" s="125" customFormat="1" ht="103.5" customHeight="1" x14ac:dyDescent="0.2">
      <c r="A52" s="122">
        <f t="shared" si="1"/>
        <v>42</v>
      </c>
      <c r="B52" s="73" t="s">
        <v>353</v>
      </c>
      <c r="C52" s="73"/>
      <c r="D52" s="62" t="s">
        <v>698</v>
      </c>
      <c r="E52" s="128">
        <v>41640</v>
      </c>
      <c r="F52" s="172">
        <v>41640</v>
      </c>
      <c r="G52" s="128">
        <v>42735</v>
      </c>
      <c r="H52" s="108"/>
      <c r="I52" s="37">
        <v>0</v>
      </c>
      <c r="J52" s="37">
        <v>0</v>
      </c>
      <c r="K52" s="37">
        <v>0</v>
      </c>
      <c r="L52" s="37">
        <v>0</v>
      </c>
      <c r="M52" s="175" t="s">
        <v>354</v>
      </c>
      <c r="N52" s="191"/>
      <c r="O52" s="191"/>
      <c r="P52" s="158"/>
      <c r="Q52" s="163"/>
      <c r="R52" s="159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7" ht="108.75" customHeight="1" x14ac:dyDescent="0.2">
      <c r="A53" s="122">
        <f t="shared" si="1"/>
        <v>43</v>
      </c>
      <c r="B53" s="139" t="s">
        <v>389</v>
      </c>
      <c r="C53" s="17"/>
      <c r="D53" s="114" t="s">
        <v>698</v>
      </c>
      <c r="E53" s="26" t="s">
        <v>8</v>
      </c>
      <c r="F53" s="26" t="s">
        <v>8</v>
      </c>
      <c r="G53" s="27">
        <v>42004</v>
      </c>
      <c r="H53" s="26"/>
      <c r="I53" s="26" t="s">
        <v>8</v>
      </c>
      <c r="J53" s="26" t="s">
        <v>8</v>
      </c>
      <c r="K53" s="26" t="s">
        <v>8</v>
      </c>
      <c r="L53" s="26" t="s">
        <v>8</v>
      </c>
      <c r="M53" s="26" t="s">
        <v>8</v>
      </c>
      <c r="N53" s="191"/>
      <c r="O53" s="191"/>
      <c r="P53" s="163"/>
      <c r="Q53" s="163"/>
      <c r="R53" s="177"/>
    </row>
    <row r="54" spans="1:47" s="14" customFormat="1" ht="107.25" customHeight="1" x14ac:dyDescent="0.2">
      <c r="A54" s="122">
        <f t="shared" si="1"/>
        <v>44</v>
      </c>
      <c r="B54" s="139" t="s">
        <v>390</v>
      </c>
      <c r="C54" s="17"/>
      <c r="D54" s="114" t="s">
        <v>698</v>
      </c>
      <c r="E54" s="26" t="s">
        <v>8</v>
      </c>
      <c r="F54" s="26" t="s">
        <v>8</v>
      </c>
      <c r="G54" s="27">
        <v>42369</v>
      </c>
      <c r="H54" s="26"/>
      <c r="I54" s="26" t="s">
        <v>8</v>
      </c>
      <c r="J54" s="26" t="s">
        <v>8</v>
      </c>
      <c r="K54" s="26" t="s">
        <v>8</v>
      </c>
      <c r="L54" s="26" t="s">
        <v>8</v>
      </c>
      <c r="M54" s="26" t="s">
        <v>8</v>
      </c>
      <c r="N54" s="191"/>
      <c r="O54" s="191"/>
      <c r="P54" s="163"/>
      <c r="Q54" s="163"/>
      <c r="R54" s="17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s="14" customFormat="1" ht="125.25" customHeight="1" x14ac:dyDescent="0.2">
      <c r="A55" s="122">
        <f t="shared" si="1"/>
        <v>45</v>
      </c>
      <c r="B55" s="139" t="s">
        <v>391</v>
      </c>
      <c r="C55" s="17"/>
      <c r="D55" s="114" t="s">
        <v>698</v>
      </c>
      <c r="E55" s="26" t="s">
        <v>8</v>
      </c>
      <c r="F55" s="26" t="s">
        <v>8</v>
      </c>
      <c r="G55" s="27">
        <v>42735</v>
      </c>
      <c r="H55" s="26"/>
      <c r="I55" s="26" t="s">
        <v>8</v>
      </c>
      <c r="J55" s="26" t="s">
        <v>8</v>
      </c>
      <c r="K55" s="26" t="s">
        <v>8</v>
      </c>
      <c r="L55" s="26" t="s">
        <v>8</v>
      </c>
      <c r="M55" s="26" t="s">
        <v>8</v>
      </c>
      <c r="N55" s="191"/>
      <c r="O55" s="191"/>
      <c r="P55" s="163"/>
      <c r="Q55" s="163"/>
      <c r="R55" s="17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s="11" customFormat="1" ht="110.25" x14ac:dyDescent="0.2">
      <c r="A56" s="122">
        <f t="shared" si="1"/>
        <v>46</v>
      </c>
      <c r="B56" s="78" t="s">
        <v>30</v>
      </c>
      <c r="C56" s="78"/>
      <c r="D56" s="62" t="s">
        <v>698</v>
      </c>
      <c r="E56" s="79">
        <v>41640</v>
      </c>
      <c r="F56" s="165">
        <v>41640</v>
      </c>
      <c r="G56" s="104">
        <v>42735</v>
      </c>
      <c r="H56" s="101"/>
      <c r="I56" s="54">
        <f>I57</f>
        <v>924.73716000000002</v>
      </c>
      <c r="J56" s="54">
        <f t="shared" ref="J56:K56" si="3">J57</f>
        <v>924.74</v>
      </c>
      <c r="K56" s="54">
        <f t="shared" si="3"/>
        <v>0</v>
      </c>
      <c r="L56" s="54">
        <v>0</v>
      </c>
      <c r="M56" s="171" t="s">
        <v>31</v>
      </c>
      <c r="N56" s="190"/>
      <c r="O56" s="190"/>
      <c r="P56" s="163"/>
      <c r="Q56" s="163"/>
      <c r="R56" s="157" t="s">
        <v>636</v>
      </c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</row>
    <row r="57" spans="1:47" s="11" customFormat="1" ht="78.75" x14ac:dyDescent="0.2">
      <c r="A57" s="122">
        <f t="shared" si="1"/>
        <v>47</v>
      </c>
      <c r="B57" s="71" t="s">
        <v>459</v>
      </c>
      <c r="C57" s="71"/>
      <c r="D57" s="62" t="s">
        <v>698</v>
      </c>
      <c r="E57" s="79">
        <v>41640</v>
      </c>
      <c r="F57" s="165">
        <v>41640</v>
      </c>
      <c r="G57" s="104">
        <v>42004</v>
      </c>
      <c r="H57" s="101"/>
      <c r="I57" s="32">
        <f>924737.16/1000</f>
        <v>924.73716000000002</v>
      </c>
      <c r="J57" s="25">
        <v>924.74</v>
      </c>
      <c r="K57" s="24">
        <v>0</v>
      </c>
      <c r="L57" s="25">
        <v>0</v>
      </c>
      <c r="M57" s="166" t="s">
        <v>32</v>
      </c>
      <c r="N57" s="191"/>
      <c r="O57" s="191"/>
      <c r="P57" s="158" t="s">
        <v>626</v>
      </c>
      <c r="Q57" s="158" t="s">
        <v>627</v>
      </c>
      <c r="R57" s="182" t="s">
        <v>628</v>
      </c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</row>
    <row r="58" spans="1:47" ht="78.75" x14ac:dyDescent="0.2">
      <c r="A58" s="122">
        <f t="shared" si="1"/>
        <v>48</v>
      </c>
      <c r="B58" s="71" t="s">
        <v>460</v>
      </c>
      <c r="C58" s="71"/>
      <c r="D58" s="62" t="s">
        <v>698</v>
      </c>
      <c r="E58" s="79">
        <v>42005</v>
      </c>
      <c r="F58" s="165">
        <v>42005</v>
      </c>
      <c r="G58" s="104">
        <v>42735</v>
      </c>
      <c r="H58" s="101"/>
      <c r="I58" s="24">
        <v>0</v>
      </c>
      <c r="J58" s="25">
        <v>0</v>
      </c>
      <c r="K58" s="32">
        <v>0</v>
      </c>
      <c r="L58" s="25">
        <v>0</v>
      </c>
      <c r="M58" s="166" t="s">
        <v>33</v>
      </c>
      <c r="N58" s="191"/>
      <c r="O58" s="191"/>
      <c r="P58" s="158" t="s">
        <v>626</v>
      </c>
      <c r="Q58" s="163"/>
      <c r="R58" s="183" t="s">
        <v>628</v>
      </c>
    </row>
    <row r="59" spans="1:47" s="11" customFormat="1" ht="78.75" x14ac:dyDescent="0.2">
      <c r="A59" s="122">
        <f t="shared" si="1"/>
        <v>49</v>
      </c>
      <c r="B59" s="139" t="s">
        <v>422</v>
      </c>
      <c r="C59" s="17"/>
      <c r="D59" s="107" t="s">
        <v>698</v>
      </c>
      <c r="E59" s="27" t="s">
        <v>34</v>
      </c>
      <c r="F59" s="27" t="s">
        <v>34</v>
      </c>
      <c r="G59" s="27">
        <v>42004</v>
      </c>
      <c r="H59" s="26"/>
      <c r="I59" s="26" t="s">
        <v>34</v>
      </c>
      <c r="J59" s="26" t="s">
        <v>34</v>
      </c>
      <c r="K59" s="26" t="s">
        <v>34</v>
      </c>
      <c r="L59" s="26" t="s">
        <v>34</v>
      </c>
      <c r="M59" s="26" t="s">
        <v>34</v>
      </c>
      <c r="N59" s="191"/>
      <c r="O59" s="191"/>
      <c r="P59" s="163"/>
      <c r="Q59" s="163"/>
      <c r="R59" s="17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</row>
    <row r="60" spans="1:47" ht="78.75" x14ac:dyDescent="0.2">
      <c r="A60" s="122">
        <f t="shared" si="1"/>
        <v>50</v>
      </c>
      <c r="B60" s="81" t="s">
        <v>423</v>
      </c>
      <c r="C60" s="17" t="s">
        <v>13</v>
      </c>
      <c r="D60" s="107" t="s">
        <v>698</v>
      </c>
      <c r="E60" s="26" t="s">
        <v>8</v>
      </c>
      <c r="F60" s="26" t="s">
        <v>8</v>
      </c>
      <c r="G60" s="27">
        <v>42277</v>
      </c>
      <c r="H60" s="26"/>
      <c r="I60" s="26" t="s">
        <v>8</v>
      </c>
      <c r="J60" s="26" t="s">
        <v>8</v>
      </c>
      <c r="K60" s="26" t="s">
        <v>8</v>
      </c>
      <c r="L60" s="26" t="s">
        <v>8</v>
      </c>
      <c r="M60" s="26" t="s">
        <v>8</v>
      </c>
      <c r="N60" s="191"/>
      <c r="O60" s="191"/>
      <c r="P60" s="163"/>
      <c r="Q60" s="163"/>
      <c r="R60" s="177"/>
    </row>
    <row r="61" spans="1:47" ht="78.75" x14ac:dyDescent="0.2">
      <c r="A61" s="122">
        <f t="shared" si="1"/>
        <v>51</v>
      </c>
      <c r="B61" s="87" t="s">
        <v>424</v>
      </c>
      <c r="C61" s="17" t="s">
        <v>13</v>
      </c>
      <c r="D61" s="107" t="s">
        <v>698</v>
      </c>
      <c r="E61" s="26" t="s">
        <v>8</v>
      </c>
      <c r="F61" s="26" t="s">
        <v>8</v>
      </c>
      <c r="G61" s="27">
        <v>42643</v>
      </c>
      <c r="H61" s="26"/>
      <c r="I61" s="26" t="s">
        <v>8</v>
      </c>
      <c r="J61" s="26" t="s">
        <v>8</v>
      </c>
      <c r="K61" s="26" t="s">
        <v>8</v>
      </c>
      <c r="L61" s="26" t="s">
        <v>8</v>
      </c>
      <c r="M61" s="26" t="s">
        <v>8</v>
      </c>
      <c r="N61" s="191"/>
      <c r="O61" s="191"/>
      <c r="P61" s="163"/>
      <c r="Q61" s="163"/>
      <c r="R61" s="177"/>
    </row>
    <row r="62" spans="1:47" s="14" customFormat="1" ht="157.5" x14ac:dyDescent="0.2">
      <c r="A62" s="122">
        <f t="shared" si="1"/>
        <v>52</v>
      </c>
      <c r="B62" s="70" t="s">
        <v>35</v>
      </c>
      <c r="C62" s="70"/>
      <c r="D62" s="140" t="s">
        <v>698</v>
      </c>
      <c r="E62" s="79">
        <v>41640</v>
      </c>
      <c r="F62" s="165">
        <v>41640</v>
      </c>
      <c r="G62" s="80">
        <v>42735</v>
      </c>
      <c r="H62" s="101"/>
      <c r="I62" s="23">
        <f>I63</f>
        <v>590.69060000000002</v>
      </c>
      <c r="J62" s="23">
        <f t="shared" ref="J62:K62" si="4">J63</f>
        <v>236.28</v>
      </c>
      <c r="K62" s="23">
        <f t="shared" si="4"/>
        <v>0</v>
      </c>
      <c r="L62" s="23">
        <f>L63</f>
        <v>590.69060000000002</v>
      </c>
      <c r="M62" s="167" t="s">
        <v>36</v>
      </c>
      <c r="N62" s="190"/>
      <c r="O62" s="190"/>
      <c r="P62" s="163"/>
      <c r="Q62" s="163"/>
      <c r="R62" s="163" t="s">
        <v>625</v>
      </c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s="14" customFormat="1" ht="78.75" x14ac:dyDescent="0.2">
      <c r="A63" s="122">
        <f t="shared" si="1"/>
        <v>53</v>
      </c>
      <c r="B63" s="71" t="s">
        <v>461</v>
      </c>
      <c r="C63" s="71"/>
      <c r="D63" s="140" t="s">
        <v>698</v>
      </c>
      <c r="E63" s="79">
        <v>41640</v>
      </c>
      <c r="F63" s="165">
        <v>41640</v>
      </c>
      <c r="G63" s="80">
        <v>42735</v>
      </c>
      <c r="H63" s="101"/>
      <c r="I63" s="32">
        <f>590690.6/1000</f>
        <v>590.69060000000002</v>
      </c>
      <c r="J63" s="32">
        <v>236.28</v>
      </c>
      <c r="K63" s="32">
        <v>0</v>
      </c>
      <c r="L63" s="32">
        <f>590690.6/1000</f>
        <v>590.69060000000002</v>
      </c>
      <c r="M63" s="166" t="s">
        <v>268</v>
      </c>
      <c r="N63" s="191"/>
      <c r="O63" s="191"/>
      <c r="P63" s="158" t="s">
        <v>626</v>
      </c>
      <c r="Q63" s="158" t="s">
        <v>627</v>
      </c>
      <c r="R63" s="182" t="s">
        <v>663</v>
      </c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s="14" customFormat="1" ht="94.5" x14ac:dyDescent="0.2">
      <c r="A64" s="122">
        <f t="shared" si="1"/>
        <v>54</v>
      </c>
      <c r="B64" s="71" t="s">
        <v>37</v>
      </c>
      <c r="C64" s="71"/>
      <c r="D64" s="140" t="s">
        <v>698</v>
      </c>
      <c r="E64" s="79">
        <v>41640</v>
      </c>
      <c r="F64" s="165">
        <v>41640</v>
      </c>
      <c r="G64" s="80">
        <v>42735</v>
      </c>
      <c r="H64" s="108"/>
      <c r="I64" s="32">
        <v>0</v>
      </c>
      <c r="J64" s="32">
        <v>0</v>
      </c>
      <c r="K64" s="32">
        <v>0</v>
      </c>
      <c r="L64" s="32">
        <v>0</v>
      </c>
      <c r="M64" s="166" t="s">
        <v>38</v>
      </c>
      <c r="N64" s="191"/>
      <c r="O64" s="191"/>
      <c r="P64" s="158" t="s">
        <v>626</v>
      </c>
      <c r="Q64" s="163"/>
      <c r="R64" s="180" t="s">
        <v>637</v>
      </c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1:47" s="11" customFormat="1" ht="110.25" x14ac:dyDescent="0.2">
      <c r="A65" s="122">
        <f t="shared" si="1"/>
        <v>55</v>
      </c>
      <c r="B65" s="81" t="s">
        <v>288</v>
      </c>
      <c r="C65" s="17"/>
      <c r="D65" s="107" t="s">
        <v>698</v>
      </c>
      <c r="E65" s="26" t="s">
        <v>8</v>
      </c>
      <c r="F65" s="26" t="s">
        <v>8</v>
      </c>
      <c r="G65" s="27">
        <v>42004</v>
      </c>
      <c r="H65" s="26"/>
      <c r="I65" s="26" t="s">
        <v>8</v>
      </c>
      <c r="J65" s="26" t="s">
        <v>8</v>
      </c>
      <c r="K65" s="39" t="s">
        <v>8</v>
      </c>
      <c r="L65" s="39" t="s">
        <v>8</v>
      </c>
      <c r="M65" s="26" t="s">
        <v>8</v>
      </c>
      <c r="N65" s="191"/>
      <c r="O65" s="191"/>
      <c r="P65" s="163"/>
      <c r="Q65" s="163"/>
      <c r="R65" s="17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</row>
    <row r="66" spans="1:47" ht="110.25" x14ac:dyDescent="0.2">
      <c r="A66" s="122">
        <f t="shared" si="1"/>
        <v>56</v>
      </c>
      <c r="B66" s="81" t="s">
        <v>289</v>
      </c>
      <c r="C66" s="17"/>
      <c r="D66" s="107" t="s">
        <v>698</v>
      </c>
      <c r="E66" s="26" t="s">
        <v>8</v>
      </c>
      <c r="F66" s="26" t="s">
        <v>8</v>
      </c>
      <c r="G66" s="27">
        <v>42369</v>
      </c>
      <c r="H66" s="26"/>
      <c r="I66" s="26" t="s">
        <v>8</v>
      </c>
      <c r="J66" s="26" t="s">
        <v>8</v>
      </c>
      <c r="K66" s="26" t="s">
        <v>8</v>
      </c>
      <c r="L66" s="39" t="s">
        <v>8</v>
      </c>
      <c r="M66" s="26" t="s">
        <v>8</v>
      </c>
      <c r="N66" s="191"/>
      <c r="O66" s="191"/>
      <c r="P66" s="163"/>
      <c r="Q66" s="163"/>
      <c r="R66" s="177"/>
    </row>
    <row r="67" spans="1:47" ht="110.25" x14ac:dyDescent="0.2">
      <c r="A67" s="122">
        <f t="shared" si="1"/>
        <v>57</v>
      </c>
      <c r="B67" s="81" t="s">
        <v>290</v>
      </c>
      <c r="C67" s="17"/>
      <c r="D67" s="107" t="s">
        <v>698</v>
      </c>
      <c r="E67" s="26" t="s">
        <v>8</v>
      </c>
      <c r="F67" s="26" t="s">
        <v>8</v>
      </c>
      <c r="G67" s="27">
        <v>42735</v>
      </c>
      <c r="H67" s="26"/>
      <c r="I67" s="26" t="s">
        <v>8</v>
      </c>
      <c r="J67" s="26" t="s">
        <v>8</v>
      </c>
      <c r="K67" s="26" t="s">
        <v>8</v>
      </c>
      <c r="L67" s="26" t="s">
        <v>8</v>
      </c>
      <c r="M67" s="26" t="s">
        <v>8</v>
      </c>
      <c r="N67" s="191"/>
      <c r="O67" s="191"/>
      <c r="P67" s="163"/>
      <c r="Q67" s="163"/>
      <c r="R67" s="177"/>
    </row>
    <row r="68" spans="1:47" s="14" customFormat="1" ht="15.75" customHeight="1" x14ac:dyDescent="0.2">
      <c r="A68" s="216">
        <f t="shared" si="1"/>
        <v>58</v>
      </c>
      <c r="B68" s="274" t="s">
        <v>39</v>
      </c>
      <c r="C68" s="275"/>
      <c r="D68" s="275"/>
      <c r="E68" s="275"/>
      <c r="F68" s="275"/>
      <c r="G68" s="275"/>
      <c r="H68" s="276"/>
      <c r="I68" s="30">
        <f>I62+I56+I44+I38+I26+I32+I20+I12</f>
        <v>13562.7804</v>
      </c>
      <c r="J68" s="30">
        <f>J62+J56+J44+J38+J26+J32+J20+J12</f>
        <v>8109.96</v>
      </c>
      <c r="K68" s="30">
        <f>K62+K56+K44+K38+K26+K32+K20+K12</f>
        <v>6455.9</v>
      </c>
      <c r="L68" s="30">
        <f>L62+L56+L44+L38+L26+L32+L20+L12</f>
        <v>8591.5987999999998</v>
      </c>
      <c r="M68" s="205"/>
      <c r="N68" s="190"/>
      <c r="O68" s="190"/>
      <c r="P68" s="163"/>
      <c r="Q68" s="163"/>
      <c r="R68" s="177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1:47" x14ac:dyDescent="0.2">
      <c r="A69" s="85">
        <f>A68+1</f>
        <v>59</v>
      </c>
      <c r="B69" s="270" t="s">
        <v>40</v>
      </c>
      <c r="C69" s="271"/>
      <c r="D69" s="271"/>
      <c r="E69" s="271"/>
      <c r="F69" s="271"/>
      <c r="G69" s="271"/>
      <c r="H69" s="271"/>
      <c r="I69" s="271"/>
      <c r="J69" s="271"/>
      <c r="K69" s="271"/>
      <c r="L69" s="272"/>
      <c r="M69" s="178"/>
      <c r="N69" s="192"/>
      <c r="O69" s="192"/>
      <c r="P69" s="199"/>
      <c r="Q69" s="199"/>
      <c r="R69" s="199"/>
    </row>
    <row r="70" spans="1:47" ht="123" customHeight="1" x14ac:dyDescent="0.2">
      <c r="A70" s="85">
        <f>A69+1</f>
        <v>60</v>
      </c>
      <c r="B70" s="70" t="s">
        <v>41</v>
      </c>
      <c r="C70" s="70"/>
      <c r="D70" s="135" t="s">
        <v>698</v>
      </c>
      <c r="E70" s="79">
        <v>41640</v>
      </c>
      <c r="F70" s="165">
        <v>41640</v>
      </c>
      <c r="G70" s="80">
        <v>42735</v>
      </c>
      <c r="H70" s="101"/>
      <c r="I70" s="23">
        <f>I71+I72</f>
        <v>15001.44605</v>
      </c>
      <c r="J70" s="23">
        <f t="shared" ref="J70:K70" si="5">J71+J72</f>
        <v>14091.150000000001</v>
      </c>
      <c r="K70" s="23">
        <f t="shared" si="5"/>
        <v>174.5</v>
      </c>
      <c r="L70" s="23">
        <f>L72</f>
        <v>1517.16605</v>
      </c>
      <c r="M70" s="167" t="s">
        <v>42</v>
      </c>
      <c r="N70" s="190"/>
      <c r="O70" s="190"/>
      <c r="P70" s="163"/>
      <c r="Q70" s="163"/>
      <c r="R70" s="163" t="s">
        <v>636</v>
      </c>
    </row>
    <row r="71" spans="1:47" ht="78.75" x14ac:dyDescent="0.2">
      <c r="A71" s="122">
        <f t="shared" ref="A71:A135" si="6">A70+1</f>
        <v>61</v>
      </c>
      <c r="B71" s="71" t="s">
        <v>462</v>
      </c>
      <c r="C71" s="71"/>
      <c r="D71" s="135" t="s">
        <v>698</v>
      </c>
      <c r="E71" s="79">
        <v>41640</v>
      </c>
      <c r="F71" s="165">
        <v>41640</v>
      </c>
      <c r="G71" s="104">
        <v>42735</v>
      </c>
      <c r="H71" s="101"/>
      <c r="I71" s="36">
        <f>13484280/1000</f>
        <v>13484.28</v>
      </c>
      <c r="J71" s="36">
        <v>13484.28</v>
      </c>
      <c r="K71" s="24">
        <v>174.5</v>
      </c>
      <c r="L71" s="24">
        <v>0</v>
      </c>
      <c r="M71" s="166" t="s">
        <v>43</v>
      </c>
      <c r="N71" s="191"/>
      <c r="O71" s="191"/>
      <c r="P71" s="163" t="s">
        <v>626</v>
      </c>
      <c r="Q71" s="163" t="s">
        <v>627</v>
      </c>
      <c r="R71" s="181" t="s">
        <v>639</v>
      </c>
    </row>
    <row r="72" spans="1:47" ht="99" customHeight="1" x14ac:dyDescent="0.2">
      <c r="A72" s="122">
        <f t="shared" si="6"/>
        <v>62</v>
      </c>
      <c r="B72" s="71" t="s">
        <v>463</v>
      </c>
      <c r="C72" s="71"/>
      <c r="D72" s="135" t="s">
        <v>698</v>
      </c>
      <c r="E72" s="79">
        <v>41640</v>
      </c>
      <c r="F72" s="165">
        <v>41640</v>
      </c>
      <c r="G72" s="80">
        <v>42735</v>
      </c>
      <c r="H72" s="101"/>
      <c r="I72" s="36">
        <f>1517166.05/1000</f>
        <v>1517.16605</v>
      </c>
      <c r="J72" s="32">
        <v>606.87</v>
      </c>
      <c r="K72" s="32">
        <v>0</v>
      </c>
      <c r="L72" s="32">
        <f>1517166.05/1000</f>
        <v>1517.16605</v>
      </c>
      <c r="M72" s="166" t="s">
        <v>44</v>
      </c>
      <c r="N72" s="191"/>
      <c r="O72" s="191"/>
      <c r="P72" s="163" t="s">
        <v>626</v>
      </c>
      <c r="Q72" s="163" t="s">
        <v>627</v>
      </c>
      <c r="R72" s="181" t="s">
        <v>640</v>
      </c>
    </row>
    <row r="73" spans="1:47" s="14" customFormat="1" ht="308.25" customHeight="1" x14ac:dyDescent="0.2">
      <c r="A73" s="238">
        <f t="shared" si="6"/>
        <v>63</v>
      </c>
      <c r="B73" s="139" t="s">
        <v>709</v>
      </c>
      <c r="C73" s="17" t="s">
        <v>13</v>
      </c>
      <c r="D73" s="139" t="s">
        <v>698</v>
      </c>
      <c r="E73" s="26" t="s">
        <v>8</v>
      </c>
      <c r="F73" s="26" t="s">
        <v>8</v>
      </c>
      <c r="G73" s="27">
        <v>41729</v>
      </c>
      <c r="H73" s="241" t="s">
        <v>711</v>
      </c>
      <c r="I73" s="26" t="s">
        <v>8</v>
      </c>
      <c r="J73" s="26" t="s">
        <v>8</v>
      </c>
      <c r="K73" s="26" t="s">
        <v>8</v>
      </c>
      <c r="L73" s="26" t="s">
        <v>8</v>
      </c>
      <c r="M73" s="26" t="s">
        <v>8</v>
      </c>
      <c r="N73" s="191"/>
      <c r="O73" s="191"/>
      <c r="P73" s="163"/>
      <c r="Q73" s="163"/>
      <c r="R73" s="177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1:47" s="40" customFormat="1" ht="78.75" x14ac:dyDescent="0.2">
      <c r="A74" s="122">
        <f t="shared" si="6"/>
        <v>64</v>
      </c>
      <c r="B74" s="81" t="s">
        <v>291</v>
      </c>
      <c r="C74" s="17"/>
      <c r="D74" s="139" t="s">
        <v>698</v>
      </c>
      <c r="E74" s="26" t="s">
        <v>8</v>
      </c>
      <c r="F74" s="26" t="s">
        <v>8</v>
      </c>
      <c r="G74" s="27">
        <v>42094</v>
      </c>
      <c r="H74" s="26"/>
      <c r="I74" s="26" t="s">
        <v>8</v>
      </c>
      <c r="J74" s="26" t="s">
        <v>8</v>
      </c>
      <c r="K74" s="26" t="s">
        <v>8</v>
      </c>
      <c r="L74" s="26" t="s">
        <v>8</v>
      </c>
      <c r="M74" s="26" t="s">
        <v>8</v>
      </c>
      <c r="N74" s="191"/>
      <c r="O74" s="191"/>
      <c r="P74" s="163"/>
      <c r="Q74" s="163"/>
      <c r="R74" s="177"/>
    </row>
    <row r="75" spans="1:47" s="20" customFormat="1" ht="78.75" x14ac:dyDescent="0.2">
      <c r="A75" s="122">
        <f t="shared" si="6"/>
        <v>65</v>
      </c>
      <c r="B75" s="81" t="s">
        <v>292</v>
      </c>
      <c r="C75" s="17"/>
      <c r="D75" s="139" t="s">
        <v>698</v>
      </c>
      <c r="E75" s="26" t="s">
        <v>8</v>
      </c>
      <c r="F75" s="26" t="s">
        <v>8</v>
      </c>
      <c r="G75" s="27">
        <v>42460</v>
      </c>
      <c r="H75" s="26"/>
      <c r="I75" s="26" t="s">
        <v>8</v>
      </c>
      <c r="J75" s="26" t="s">
        <v>8</v>
      </c>
      <c r="K75" s="26" t="s">
        <v>8</v>
      </c>
      <c r="L75" s="26" t="s">
        <v>8</v>
      </c>
      <c r="M75" s="26" t="s">
        <v>8</v>
      </c>
      <c r="N75" s="191"/>
      <c r="O75" s="191"/>
      <c r="P75" s="163"/>
      <c r="Q75" s="163"/>
      <c r="R75" s="177"/>
    </row>
    <row r="76" spans="1:47" s="5" customFormat="1" ht="94.5" x14ac:dyDescent="0.2">
      <c r="A76" s="122">
        <f>A75+1</f>
        <v>66</v>
      </c>
      <c r="B76" s="70" t="s">
        <v>45</v>
      </c>
      <c r="C76" s="70"/>
      <c r="D76" s="135" t="s">
        <v>700</v>
      </c>
      <c r="E76" s="79">
        <v>41640</v>
      </c>
      <c r="F76" s="165">
        <v>41640</v>
      </c>
      <c r="G76" s="104">
        <v>42735</v>
      </c>
      <c r="H76" s="101"/>
      <c r="I76" s="23">
        <f>SUM(I77:I78)</f>
        <v>18303.0416</v>
      </c>
      <c r="J76" s="23">
        <f t="shared" ref="J76:K76" si="7">SUM(J77:J78)</f>
        <v>18303.04</v>
      </c>
      <c r="K76" s="23">
        <f t="shared" si="7"/>
        <v>16713</v>
      </c>
      <c r="L76" s="23">
        <v>0</v>
      </c>
      <c r="M76" s="167" t="s">
        <v>46</v>
      </c>
      <c r="N76" s="190"/>
      <c r="O76" s="190"/>
      <c r="P76" s="163"/>
      <c r="Q76" s="163"/>
      <c r="R76" s="163" t="s">
        <v>629</v>
      </c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7" s="11" customFormat="1" ht="94.5" x14ac:dyDescent="0.2">
      <c r="A77" s="122">
        <f t="shared" si="6"/>
        <v>67</v>
      </c>
      <c r="B77" s="71" t="s">
        <v>464</v>
      </c>
      <c r="C77" s="71"/>
      <c r="D77" s="135" t="s">
        <v>700</v>
      </c>
      <c r="E77" s="79">
        <v>41640</v>
      </c>
      <c r="F77" s="165">
        <v>41640</v>
      </c>
      <c r="G77" s="104">
        <v>42735</v>
      </c>
      <c r="H77" s="101"/>
      <c r="I77" s="25">
        <f>18303041.6/1000</f>
        <v>18303.0416</v>
      </c>
      <c r="J77" s="25">
        <v>18303.04</v>
      </c>
      <c r="K77" s="25">
        <v>16713</v>
      </c>
      <c r="L77" s="25">
        <v>0</v>
      </c>
      <c r="M77" s="166" t="s">
        <v>347</v>
      </c>
      <c r="N77" s="191"/>
      <c r="O77" s="191"/>
      <c r="P77" s="163" t="s">
        <v>626</v>
      </c>
      <c r="Q77" s="163" t="s">
        <v>627</v>
      </c>
      <c r="R77" s="180" t="s">
        <v>641</v>
      </c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</row>
    <row r="78" spans="1:47" ht="94.5" x14ac:dyDescent="0.2">
      <c r="A78" s="122">
        <f t="shared" si="6"/>
        <v>68</v>
      </c>
      <c r="B78" s="71" t="s">
        <v>47</v>
      </c>
      <c r="C78" s="71"/>
      <c r="D78" s="135" t="s">
        <v>700</v>
      </c>
      <c r="E78" s="79">
        <v>41640</v>
      </c>
      <c r="F78" s="165">
        <v>41640</v>
      </c>
      <c r="G78" s="104">
        <v>42735</v>
      </c>
      <c r="H78" s="53"/>
      <c r="I78" s="24">
        <v>0</v>
      </c>
      <c r="J78" s="25">
        <v>0</v>
      </c>
      <c r="K78" s="25">
        <v>0</v>
      </c>
      <c r="L78" s="25">
        <v>0</v>
      </c>
      <c r="M78" s="166" t="s">
        <v>48</v>
      </c>
      <c r="N78" s="191"/>
      <c r="O78" s="191"/>
      <c r="P78" s="163" t="s">
        <v>626</v>
      </c>
      <c r="Q78" s="163"/>
      <c r="R78" s="180" t="s">
        <v>637</v>
      </c>
    </row>
    <row r="79" spans="1:47" ht="164.25" customHeight="1" x14ac:dyDescent="0.2">
      <c r="A79" s="122">
        <f t="shared" si="6"/>
        <v>69</v>
      </c>
      <c r="B79" s="120" t="s">
        <v>348</v>
      </c>
      <c r="C79" s="17"/>
      <c r="D79" s="139" t="s">
        <v>700</v>
      </c>
      <c r="E79" s="26" t="s">
        <v>8</v>
      </c>
      <c r="F79" s="26" t="s">
        <v>8</v>
      </c>
      <c r="G79" s="27">
        <v>42004</v>
      </c>
      <c r="H79" s="26"/>
      <c r="I79" s="26" t="s">
        <v>8</v>
      </c>
      <c r="J79" s="26" t="s">
        <v>8</v>
      </c>
      <c r="K79" s="26" t="s">
        <v>8</v>
      </c>
      <c r="L79" s="26" t="s">
        <v>8</v>
      </c>
      <c r="M79" s="26" t="s">
        <v>8</v>
      </c>
      <c r="N79" s="191"/>
      <c r="O79" s="191"/>
      <c r="P79" s="163"/>
      <c r="Q79" s="163"/>
      <c r="R79" s="177"/>
    </row>
    <row r="80" spans="1:47" ht="168" customHeight="1" x14ac:dyDescent="0.2">
      <c r="A80" s="122">
        <f t="shared" si="6"/>
        <v>70</v>
      </c>
      <c r="B80" s="120" t="s">
        <v>349</v>
      </c>
      <c r="C80" s="17"/>
      <c r="D80" s="139" t="s">
        <v>700</v>
      </c>
      <c r="E80" s="26" t="s">
        <v>8</v>
      </c>
      <c r="F80" s="26" t="s">
        <v>8</v>
      </c>
      <c r="G80" s="27">
        <v>42369</v>
      </c>
      <c r="H80" s="26"/>
      <c r="I80" s="26" t="s">
        <v>8</v>
      </c>
      <c r="J80" s="26" t="s">
        <v>8</v>
      </c>
      <c r="K80" s="26" t="s">
        <v>8</v>
      </c>
      <c r="L80" s="26" t="s">
        <v>8</v>
      </c>
      <c r="M80" s="26" t="s">
        <v>8</v>
      </c>
      <c r="N80" s="191"/>
      <c r="O80" s="191"/>
      <c r="P80" s="163"/>
      <c r="Q80" s="163"/>
      <c r="R80" s="177"/>
    </row>
    <row r="81" spans="1:47" ht="174.75" customHeight="1" x14ac:dyDescent="0.2">
      <c r="A81" s="122">
        <f t="shared" si="6"/>
        <v>71</v>
      </c>
      <c r="B81" s="120" t="s">
        <v>350</v>
      </c>
      <c r="C81" s="17"/>
      <c r="D81" s="139" t="s">
        <v>700</v>
      </c>
      <c r="E81" s="26" t="s">
        <v>8</v>
      </c>
      <c r="F81" s="26" t="s">
        <v>8</v>
      </c>
      <c r="G81" s="27">
        <v>42735</v>
      </c>
      <c r="H81" s="26"/>
      <c r="I81" s="26" t="s">
        <v>8</v>
      </c>
      <c r="J81" s="26" t="s">
        <v>8</v>
      </c>
      <c r="K81" s="26" t="s">
        <v>8</v>
      </c>
      <c r="L81" s="26" t="s">
        <v>8</v>
      </c>
      <c r="M81" s="26" t="s">
        <v>8</v>
      </c>
      <c r="N81" s="191"/>
      <c r="O81" s="191"/>
      <c r="P81" s="163"/>
      <c r="Q81" s="163"/>
      <c r="R81" s="177"/>
    </row>
    <row r="82" spans="1:47" s="14" customFormat="1" ht="96" customHeight="1" x14ac:dyDescent="0.2">
      <c r="A82" s="122">
        <f>A81+1</f>
        <v>72</v>
      </c>
      <c r="B82" s="70" t="s">
        <v>49</v>
      </c>
      <c r="C82" s="70"/>
      <c r="D82" s="135" t="s">
        <v>698</v>
      </c>
      <c r="E82" s="79">
        <v>41640</v>
      </c>
      <c r="F82" s="165">
        <v>41640</v>
      </c>
      <c r="G82" s="80">
        <v>42735</v>
      </c>
      <c r="H82" s="101"/>
      <c r="I82" s="23">
        <f>SUM(I83:I84)</f>
        <v>11303.0416</v>
      </c>
      <c r="J82" s="23">
        <f t="shared" ref="J82:K82" si="8">SUM(J83:J84)</f>
        <v>11303.04</v>
      </c>
      <c r="K82" s="23">
        <f t="shared" si="8"/>
        <v>850.09</v>
      </c>
      <c r="L82" s="23">
        <f>SUM(L83:L84)</f>
        <v>11303.0416</v>
      </c>
      <c r="M82" s="45" t="s">
        <v>50</v>
      </c>
      <c r="N82" s="190"/>
      <c r="O82" s="190"/>
      <c r="P82" s="163"/>
      <c r="Q82" s="163"/>
      <c r="R82" s="163" t="s">
        <v>629</v>
      </c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1:47" s="14" customFormat="1" ht="78.75" x14ac:dyDescent="0.2">
      <c r="A83" s="122">
        <f t="shared" si="6"/>
        <v>73</v>
      </c>
      <c r="B83" s="71" t="s">
        <v>465</v>
      </c>
      <c r="C83" s="71"/>
      <c r="D83" s="135" t="s">
        <v>698</v>
      </c>
      <c r="E83" s="79">
        <v>41640</v>
      </c>
      <c r="F83" s="165">
        <v>41640</v>
      </c>
      <c r="G83" s="80">
        <v>42735</v>
      </c>
      <c r="H83" s="101"/>
      <c r="I83" s="25">
        <f>11303041.6/1000</f>
        <v>11303.0416</v>
      </c>
      <c r="J83" s="25">
        <v>11303.04</v>
      </c>
      <c r="K83" s="25">
        <v>850.09</v>
      </c>
      <c r="L83" s="25">
        <f>11303041.6/1000</f>
        <v>11303.0416</v>
      </c>
      <c r="M83" s="166" t="s">
        <v>366</v>
      </c>
      <c r="N83" s="191"/>
      <c r="O83" s="191"/>
      <c r="P83" s="163" t="s">
        <v>626</v>
      </c>
      <c r="Q83" s="163" t="s">
        <v>627</v>
      </c>
      <c r="R83" s="181" t="s">
        <v>642</v>
      </c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1:47" s="14" customFormat="1" ht="78.75" x14ac:dyDescent="0.2">
      <c r="A84" s="122">
        <f t="shared" si="6"/>
        <v>74</v>
      </c>
      <c r="B84" s="71" t="s">
        <v>51</v>
      </c>
      <c r="C84" s="71"/>
      <c r="D84" s="135" t="s">
        <v>698</v>
      </c>
      <c r="E84" s="79">
        <v>41640</v>
      </c>
      <c r="F84" s="165">
        <v>41640</v>
      </c>
      <c r="G84" s="80">
        <v>42735</v>
      </c>
      <c r="H84" s="53"/>
      <c r="I84" s="24">
        <v>0</v>
      </c>
      <c r="J84" s="25">
        <v>0</v>
      </c>
      <c r="K84" s="24">
        <v>0</v>
      </c>
      <c r="L84" s="24">
        <v>0</v>
      </c>
      <c r="M84" s="166" t="s">
        <v>52</v>
      </c>
      <c r="N84" s="191"/>
      <c r="O84" s="191"/>
      <c r="P84" s="163" t="s">
        <v>626</v>
      </c>
      <c r="Q84" s="163"/>
      <c r="R84" s="181" t="s">
        <v>642</v>
      </c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1:47" s="11" customFormat="1" ht="111" customHeight="1" x14ac:dyDescent="0.2">
      <c r="A85" s="122">
        <f t="shared" si="6"/>
        <v>75</v>
      </c>
      <c r="B85" s="139" t="s">
        <v>379</v>
      </c>
      <c r="C85" s="17"/>
      <c r="D85" s="139" t="s">
        <v>698</v>
      </c>
      <c r="E85" s="26" t="s">
        <v>8</v>
      </c>
      <c r="F85" s="26" t="s">
        <v>8</v>
      </c>
      <c r="G85" s="27">
        <v>42004</v>
      </c>
      <c r="H85" s="26"/>
      <c r="I85" s="26" t="s">
        <v>8</v>
      </c>
      <c r="J85" s="26" t="s">
        <v>8</v>
      </c>
      <c r="K85" s="26" t="s">
        <v>8</v>
      </c>
      <c r="L85" s="26" t="s">
        <v>8</v>
      </c>
      <c r="M85" s="26" t="s">
        <v>8</v>
      </c>
      <c r="N85" s="191"/>
      <c r="O85" s="191"/>
      <c r="P85" s="163"/>
      <c r="Q85" s="163"/>
      <c r="R85" s="17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</row>
    <row r="86" spans="1:47" ht="107.25" customHeight="1" x14ac:dyDescent="0.2">
      <c r="A86" s="122">
        <f t="shared" si="6"/>
        <v>76</v>
      </c>
      <c r="B86" s="139" t="s">
        <v>380</v>
      </c>
      <c r="C86" s="17"/>
      <c r="D86" s="139" t="s">
        <v>698</v>
      </c>
      <c r="E86" s="26" t="s">
        <v>8</v>
      </c>
      <c r="F86" s="26" t="s">
        <v>8</v>
      </c>
      <c r="G86" s="27">
        <v>42369</v>
      </c>
      <c r="H86" s="26"/>
      <c r="I86" s="26" t="s">
        <v>8</v>
      </c>
      <c r="J86" s="26" t="s">
        <v>8</v>
      </c>
      <c r="K86" s="26" t="s">
        <v>8</v>
      </c>
      <c r="L86" s="26" t="s">
        <v>8</v>
      </c>
      <c r="M86" s="26" t="s">
        <v>8</v>
      </c>
      <c r="N86" s="191"/>
      <c r="O86" s="191"/>
      <c r="P86" s="163"/>
      <c r="Q86" s="163"/>
      <c r="R86" s="177"/>
    </row>
    <row r="87" spans="1:47" ht="109.5" customHeight="1" x14ac:dyDescent="0.2">
      <c r="A87" s="122">
        <f t="shared" si="6"/>
        <v>77</v>
      </c>
      <c r="B87" s="139" t="s">
        <v>392</v>
      </c>
      <c r="C87" s="17"/>
      <c r="D87" s="139" t="s">
        <v>698</v>
      </c>
      <c r="E87" s="26" t="s">
        <v>8</v>
      </c>
      <c r="F87" s="26" t="s">
        <v>8</v>
      </c>
      <c r="G87" s="27">
        <v>42735</v>
      </c>
      <c r="H87" s="26"/>
      <c r="I87" s="26" t="s">
        <v>8</v>
      </c>
      <c r="J87" s="26" t="s">
        <v>8</v>
      </c>
      <c r="K87" s="26" t="s">
        <v>8</v>
      </c>
      <c r="L87" s="26" t="s">
        <v>8</v>
      </c>
      <c r="M87" s="26" t="s">
        <v>8</v>
      </c>
      <c r="N87" s="191"/>
      <c r="O87" s="191"/>
      <c r="P87" s="163"/>
      <c r="Q87" s="163"/>
      <c r="R87" s="177"/>
    </row>
    <row r="88" spans="1:47" ht="94.5" x14ac:dyDescent="0.2">
      <c r="A88" s="122">
        <f>A87+1</f>
        <v>78</v>
      </c>
      <c r="B88" s="78" t="s">
        <v>53</v>
      </c>
      <c r="C88" s="78"/>
      <c r="D88" s="135" t="s">
        <v>700</v>
      </c>
      <c r="E88" s="33">
        <v>41640</v>
      </c>
      <c r="F88" s="33">
        <v>41640</v>
      </c>
      <c r="G88" s="33">
        <v>42735</v>
      </c>
      <c r="H88" s="75"/>
      <c r="I88" s="56">
        <v>0</v>
      </c>
      <c r="J88" s="56">
        <v>0</v>
      </c>
      <c r="K88" s="56">
        <v>0</v>
      </c>
      <c r="L88" s="56">
        <v>0</v>
      </c>
      <c r="M88" s="171" t="s">
        <v>54</v>
      </c>
      <c r="N88" s="190"/>
      <c r="O88" s="190"/>
      <c r="P88" s="163"/>
      <c r="Q88" s="163"/>
      <c r="R88" s="163" t="s">
        <v>629</v>
      </c>
    </row>
    <row r="89" spans="1:47" ht="94.5" x14ac:dyDescent="0.2">
      <c r="A89" s="122">
        <f t="shared" si="6"/>
        <v>79</v>
      </c>
      <c r="B89" s="72" t="s">
        <v>466</v>
      </c>
      <c r="C89" s="72"/>
      <c r="D89" s="135" t="s">
        <v>700</v>
      </c>
      <c r="E89" s="33">
        <v>41640</v>
      </c>
      <c r="F89" s="33">
        <v>41640</v>
      </c>
      <c r="G89" s="33">
        <v>42735</v>
      </c>
      <c r="H89" s="113"/>
      <c r="I89" s="58">
        <v>0</v>
      </c>
      <c r="J89" s="58">
        <v>0</v>
      </c>
      <c r="K89" s="58">
        <v>0</v>
      </c>
      <c r="L89" s="58">
        <v>0</v>
      </c>
      <c r="M89" s="166" t="s">
        <v>420</v>
      </c>
      <c r="N89" s="191"/>
      <c r="O89" s="191"/>
      <c r="P89" s="163" t="s">
        <v>626</v>
      </c>
      <c r="Q89" s="163"/>
      <c r="R89" s="180" t="s">
        <v>640</v>
      </c>
    </row>
    <row r="90" spans="1:47" s="126" customFormat="1" ht="94.5" x14ac:dyDescent="0.2">
      <c r="A90" s="122">
        <f t="shared" si="6"/>
        <v>80</v>
      </c>
      <c r="B90" s="73" t="s">
        <v>336</v>
      </c>
      <c r="C90" s="73"/>
      <c r="D90" s="135" t="s">
        <v>700</v>
      </c>
      <c r="E90" s="133">
        <v>41640</v>
      </c>
      <c r="F90" s="133">
        <v>41640</v>
      </c>
      <c r="G90" s="133">
        <v>42735</v>
      </c>
      <c r="H90" s="108"/>
      <c r="I90" s="134">
        <v>0</v>
      </c>
      <c r="J90" s="134">
        <v>0</v>
      </c>
      <c r="K90" s="134">
        <v>0</v>
      </c>
      <c r="L90" s="134">
        <v>0</v>
      </c>
      <c r="M90" s="175" t="s">
        <v>337</v>
      </c>
      <c r="N90" s="191"/>
      <c r="O90" s="191"/>
      <c r="P90" s="163" t="s">
        <v>626</v>
      </c>
      <c r="Q90" s="163"/>
      <c r="R90" s="180" t="s">
        <v>640</v>
      </c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</row>
    <row r="91" spans="1:47" ht="104.25" customHeight="1" x14ac:dyDescent="0.2">
      <c r="A91" s="122">
        <f t="shared" si="6"/>
        <v>81</v>
      </c>
      <c r="B91" s="139" t="s">
        <v>393</v>
      </c>
      <c r="C91" s="17"/>
      <c r="D91" s="139" t="s">
        <v>700</v>
      </c>
      <c r="E91" s="2" t="s">
        <v>8</v>
      </c>
      <c r="F91" s="2" t="s">
        <v>8</v>
      </c>
      <c r="G91" s="27">
        <v>42004</v>
      </c>
      <c r="H91" s="26"/>
      <c r="I91" s="2" t="s">
        <v>8</v>
      </c>
      <c r="J91" s="2" t="s">
        <v>8</v>
      </c>
      <c r="K91" s="2" t="s">
        <v>8</v>
      </c>
      <c r="L91" s="2" t="s">
        <v>8</v>
      </c>
      <c r="M91" s="2" t="s">
        <v>8</v>
      </c>
      <c r="N91" s="193"/>
      <c r="O91" s="193"/>
      <c r="P91" s="163"/>
      <c r="Q91" s="163"/>
      <c r="R91" s="177"/>
    </row>
    <row r="92" spans="1:47" ht="108.75" customHeight="1" x14ac:dyDescent="0.2">
      <c r="A92" s="122">
        <f t="shared" si="6"/>
        <v>82</v>
      </c>
      <c r="B92" s="139" t="s">
        <v>394</v>
      </c>
      <c r="C92" s="17"/>
      <c r="D92" s="139" t="s">
        <v>700</v>
      </c>
      <c r="E92" s="2" t="s">
        <v>8</v>
      </c>
      <c r="F92" s="2" t="s">
        <v>8</v>
      </c>
      <c r="G92" s="27">
        <v>42369</v>
      </c>
      <c r="H92" s="26"/>
      <c r="I92" s="2" t="s">
        <v>8</v>
      </c>
      <c r="J92" s="2" t="s">
        <v>8</v>
      </c>
      <c r="K92" s="2" t="s">
        <v>8</v>
      </c>
      <c r="L92" s="2" t="s">
        <v>8</v>
      </c>
      <c r="M92" s="2" t="s">
        <v>8</v>
      </c>
      <c r="N92" s="193"/>
      <c r="O92" s="193"/>
      <c r="P92" s="163"/>
      <c r="Q92" s="163"/>
      <c r="R92" s="177"/>
    </row>
    <row r="93" spans="1:47" s="14" customFormat="1" ht="105" customHeight="1" x14ac:dyDescent="0.2">
      <c r="A93" s="122">
        <f t="shared" si="6"/>
        <v>83</v>
      </c>
      <c r="B93" s="139" t="s">
        <v>395</v>
      </c>
      <c r="C93" s="17"/>
      <c r="D93" s="139" t="s">
        <v>700</v>
      </c>
      <c r="E93" s="2" t="s">
        <v>8</v>
      </c>
      <c r="F93" s="2" t="s">
        <v>8</v>
      </c>
      <c r="G93" s="27">
        <v>42735</v>
      </c>
      <c r="H93" s="26"/>
      <c r="I93" s="2" t="s">
        <v>8</v>
      </c>
      <c r="J93" s="2" t="s">
        <v>8</v>
      </c>
      <c r="K93" s="2" t="s">
        <v>8</v>
      </c>
      <c r="L93" s="2" t="s">
        <v>8</v>
      </c>
      <c r="M93" s="2" t="s">
        <v>8</v>
      </c>
      <c r="N93" s="193"/>
      <c r="O93" s="193"/>
      <c r="P93" s="163"/>
      <c r="Q93" s="163"/>
      <c r="R93" s="177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1:47" s="11" customFormat="1" ht="78.75" x14ac:dyDescent="0.2">
      <c r="A94" s="122">
        <f>A93+1</f>
        <v>84</v>
      </c>
      <c r="B94" s="70" t="s">
        <v>55</v>
      </c>
      <c r="C94" s="70"/>
      <c r="D94" s="135" t="s">
        <v>698</v>
      </c>
      <c r="E94" s="33">
        <v>41640</v>
      </c>
      <c r="F94" s="33">
        <v>41640</v>
      </c>
      <c r="G94" s="33">
        <v>42735</v>
      </c>
      <c r="H94" s="101"/>
      <c r="I94" s="23">
        <f>SUM(I95:I96)</f>
        <v>10995.310800000001</v>
      </c>
      <c r="J94" s="23">
        <f t="shared" ref="J94:K94" si="9">SUM(J95:J96)</f>
        <v>10995.31</v>
      </c>
      <c r="K94" s="23">
        <f t="shared" si="9"/>
        <v>0</v>
      </c>
      <c r="L94" s="23">
        <v>0</v>
      </c>
      <c r="M94" s="137" t="s">
        <v>381</v>
      </c>
      <c r="N94" s="190"/>
      <c r="O94" s="190"/>
      <c r="P94" s="163"/>
      <c r="Q94" s="163"/>
      <c r="R94" s="163" t="s">
        <v>636</v>
      </c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</row>
    <row r="95" spans="1:47" ht="78.75" x14ac:dyDescent="0.2">
      <c r="A95" s="122">
        <f t="shared" si="6"/>
        <v>85</v>
      </c>
      <c r="B95" s="71" t="s">
        <v>467</v>
      </c>
      <c r="C95" s="71"/>
      <c r="D95" s="135" t="s">
        <v>698</v>
      </c>
      <c r="E95" s="79">
        <v>41640</v>
      </c>
      <c r="F95" s="165">
        <v>41640</v>
      </c>
      <c r="G95" s="104">
        <v>42735</v>
      </c>
      <c r="H95" s="101"/>
      <c r="I95" s="25">
        <f>10995310.8/1000</f>
        <v>10995.310800000001</v>
      </c>
      <c r="J95" s="25">
        <v>10995.31</v>
      </c>
      <c r="K95" s="25">
        <v>0</v>
      </c>
      <c r="L95" s="25">
        <v>0</v>
      </c>
      <c r="M95" s="166" t="s">
        <v>253</v>
      </c>
      <c r="N95" s="191"/>
      <c r="O95" s="191"/>
      <c r="P95" s="163" t="s">
        <v>626</v>
      </c>
      <c r="Q95" s="163" t="s">
        <v>627</v>
      </c>
      <c r="R95" s="180" t="s">
        <v>640</v>
      </c>
    </row>
    <row r="96" spans="1:47" ht="78.75" x14ac:dyDescent="0.2">
      <c r="A96" s="122">
        <f t="shared" si="6"/>
        <v>86</v>
      </c>
      <c r="B96" s="71" t="s">
        <v>56</v>
      </c>
      <c r="C96" s="71"/>
      <c r="D96" s="135" t="s">
        <v>698</v>
      </c>
      <c r="E96" s="33">
        <v>41640</v>
      </c>
      <c r="F96" s="33">
        <v>41640</v>
      </c>
      <c r="G96" s="33">
        <v>42735</v>
      </c>
      <c r="H96" s="53"/>
      <c r="I96" s="8">
        <v>0</v>
      </c>
      <c r="J96" s="25">
        <v>0</v>
      </c>
      <c r="K96" s="25">
        <v>0</v>
      </c>
      <c r="L96" s="25">
        <v>0</v>
      </c>
      <c r="M96" s="166" t="s">
        <v>57</v>
      </c>
      <c r="N96" s="191"/>
      <c r="O96" s="191"/>
      <c r="P96" s="163" t="s">
        <v>626</v>
      </c>
      <c r="Q96" s="163"/>
      <c r="R96" s="180" t="s">
        <v>637</v>
      </c>
    </row>
    <row r="97" spans="1:47" s="14" customFormat="1" ht="78.75" x14ac:dyDescent="0.2">
      <c r="A97" s="122">
        <f t="shared" si="6"/>
        <v>87</v>
      </c>
      <c r="B97" s="81" t="s">
        <v>375</v>
      </c>
      <c r="C97" s="17"/>
      <c r="D97" s="139" t="s">
        <v>698</v>
      </c>
      <c r="E97" s="26" t="s">
        <v>8</v>
      </c>
      <c r="F97" s="26" t="s">
        <v>8</v>
      </c>
      <c r="G97" s="27">
        <v>42004</v>
      </c>
      <c r="H97" s="26"/>
      <c r="I97" s="26" t="s">
        <v>8</v>
      </c>
      <c r="J97" s="26" t="s">
        <v>8</v>
      </c>
      <c r="K97" s="26" t="s">
        <v>8</v>
      </c>
      <c r="L97" s="26" t="s">
        <v>8</v>
      </c>
      <c r="M97" s="26" t="s">
        <v>8</v>
      </c>
      <c r="N97" s="191"/>
      <c r="O97" s="191"/>
      <c r="P97" s="163"/>
      <c r="Q97" s="163"/>
      <c r="R97" s="177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1:47" s="40" customFormat="1" ht="78.75" x14ac:dyDescent="0.2">
      <c r="A98" s="122">
        <f t="shared" si="6"/>
        <v>88</v>
      </c>
      <c r="B98" s="87" t="s">
        <v>293</v>
      </c>
      <c r="C98" s="17"/>
      <c r="D98" s="139" t="s">
        <v>698</v>
      </c>
      <c r="E98" s="26" t="s">
        <v>8</v>
      </c>
      <c r="F98" s="26" t="s">
        <v>8</v>
      </c>
      <c r="G98" s="27">
        <v>42369</v>
      </c>
      <c r="H98" s="26"/>
      <c r="I98" s="26" t="s">
        <v>8</v>
      </c>
      <c r="J98" s="26" t="s">
        <v>8</v>
      </c>
      <c r="K98" s="26" t="s">
        <v>8</v>
      </c>
      <c r="L98" s="26" t="s">
        <v>8</v>
      </c>
      <c r="M98" s="26" t="s">
        <v>8</v>
      </c>
      <c r="N98" s="191"/>
      <c r="O98" s="191"/>
      <c r="P98" s="163"/>
      <c r="Q98" s="163"/>
      <c r="R98" s="177"/>
    </row>
    <row r="99" spans="1:47" s="20" customFormat="1" ht="78.75" x14ac:dyDescent="0.2">
      <c r="A99" s="122">
        <f t="shared" si="6"/>
        <v>89</v>
      </c>
      <c r="B99" s="87" t="s">
        <v>294</v>
      </c>
      <c r="C99" s="17"/>
      <c r="D99" s="139" t="s">
        <v>698</v>
      </c>
      <c r="E99" s="26" t="s">
        <v>8</v>
      </c>
      <c r="F99" s="26" t="s">
        <v>8</v>
      </c>
      <c r="G99" s="27">
        <v>42735</v>
      </c>
      <c r="H99" s="26"/>
      <c r="I99" s="26" t="s">
        <v>8</v>
      </c>
      <c r="J99" s="26" t="s">
        <v>8</v>
      </c>
      <c r="K99" s="26" t="s">
        <v>8</v>
      </c>
      <c r="L99" s="26" t="s">
        <v>8</v>
      </c>
      <c r="M99" s="26" t="s">
        <v>8</v>
      </c>
      <c r="N99" s="191"/>
      <c r="O99" s="191"/>
      <c r="P99" s="163"/>
      <c r="Q99" s="163"/>
      <c r="R99" s="177"/>
    </row>
    <row r="100" spans="1:47" s="5" customFormat="1" ht="103.5" customHeight="1" x14ac:dyDescent="0.2">
      <c r="A100" s="122">
        <f>A99+1</f>
        <v>90</v>
      </c>
      <c r="B100" s="70" t="s">
        <v>58</v>
      </c>
      <c r="C100" s="70"/>
      <c r="D100" s="135" t="s">
        <v>698</v>
      </c>
      <c r="E100" s="79">
        <v>41640</v>
      </c>
      <c r="F100" s="165">
        <v>41640</v>
      </c>
      <c r="G100" s="80">
        <v>42735</v>
      </c>
      <c r="H100" s="101"/>
      <c r="I100" s="23">
        <f>I101+I102</f>
        <v>8685.5010000000002</v>
      </c>
      <c r="J100" s="23">
        <f t="shared" ref="J100:K100" si="10">J101+J102</f>
        <v>7033.38</v>
      </c>
      <c r="K100" s="23">
        <f t="shared" si="10"/>
        <v>95</v>
      </c>
      <c r="L100" s="23">
        <f>L101</f>
        <v>5746.4366</v>
      </c>
      <c r="M100" s="167" t="s">
        <v>59</v>
      </c>
      <c r="N100" s="190"/>
      <c r="O100" s="190"/>
      <c r="P100" s="163"/>
      <c r="Q100" s="163"/>
      <c r="R100" s="163" t="s">
        <v>643</v>
      </c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7" s="40" customFormat="1" ht="99" customHeight="1" x14ac:dyDescent="0.2">
      <c r="A101" s="122">
        <f t="shared" si="6"/>
        <v>91</v>
      </c>
      <c r="B101" s="71" t="s">
        <v>468</v>
      </c>
      <c r="C101" s="71"/>
      <c r="D101" s="135" t="s">
        <v>698</v>
      </c>
      <c r="E101" s="79">
        <v>41640</v>
      </c>
      <c r="F101" s="165">
        <v>41640</v>
      </c>
      <c r="G101" s="80">
        <v>42735</v>
      </c>
      <c r="H101" s="101"/>
      <c r="I101" s="25">
        <f>5931971.6/1000</f>
        <v>5931.9715999999999</v>
      </c>
      <c r="J101" s="25">
        <v>5931.97</v>
      </c>
      <c r="K101" s="25">
        <v>95</v>
      </c>
      <c r="L101" s="25">
        <f>5746436.6/1000</f>
        <v>5746.4366</v>
      </c>
      <c r="M101" s="166" t="s">
        <v>254</v>
      </c>
      <c r="N101" s="191"/>
      <c r="O101" s="191"/>
      <c r="P101" s="163" t="s">
        <v>626</v>
      </c>
      <c r="Q101" s="163" t="s">
        <v>627</v>
      </c>
      <c r="R101" s="180" t="s">
        <v>642</v>
      </c>
    </row>
    <row r="102" spans="1:47" s="20" customFormat="1" ht="102" customHeight="1" x14ac:dyDescent="0.2">
      <c r="A102" s="122">
        <f>A101+1</f>
        <v>92</v>
      </c>
      <c r="B102" s="71" t="s">
        <v>469</v>
      </c>
      <c r="C102" s="71"/>
      <c r="D102" s="135" t="s">
        <v>698</v>
      </c>
      <c r="E102" s="79">
        <v>41640</v>
      </c>
      <c r="F102" s="165">
        <v>41640</v>
      </c>
      <c r="G102" s="80">
        <v>42369</v>
      </c>
      <c r="H102" s="101"/>
      <c r="I102" s="25">
        <f>2753529.4/1000</f>
        <v>2753.5293999999999</v>
      </c>
      <c r="J102" s="25">
        <v>1101.4100000000001</v>
      </c>
      <c r="K102" s="25">
        <v>0</v>
      </c>
      <c r="L102" s="25">
        <v>0</v>
      </c>
      <c r="M102" s="166" t="s">
        <v>60</v>
      </c>
      <c r="N102" s="191"/>
      <c r="O102" s="191"/>
      <c r="P102" s="163" t="s">
        <v>626</v>
      </c>
      <c r="Q102" s="163" t="s">
        <v>627</v>
      </c>
      <c r="R102" s="180" t="s">
        <v>642</v>
      </c>
    </row>
    <row r="103" spans="1:47" s="5" customFormat="1" ht="100.5" customHeight="1" x14ac:dyDescent="0.2">
      <c r="A103" s="122">
        <f t="shared" si="6"/>
        <v>93</v>
      </c>
      <c r="B103" s="81" t="s">
        <v>295</v>
      </c>
      <c r="C103" s="17"/>
      <c r="D103" s="139" t="s">
        <v>698</v>
      </c>
      <c r="E103" s="27" t="s">
        <v>8</v>
      </c>
      <c r="F103" s="27" t="s">
        <v>8</v>
      </c>
      <c r="G103" s="27">
        <v>41912</v>
      </c>
      <c r="H103" s="242" t="s">
        <v>715</v>
      </c>
      <c r="I103" s="9" t="s">
        <v>8</v>
      </c>
      <c r="J103" s="9" t="s">
        <v>8</v>
      </c>
      <c r="K103" s="9" t="s">
        <v>8</v>
      </c>
      <c r="L103" s="9" t="s">
        <v>8</v>
      </c>
      <c r="M103" s="26" t="s">
        <v>8</v>
      </c>
      <c r="N103" s="191"/>
      <c r="O103" s="191"/>
      <c r="P103" s="163"/>
      <c r="Q103" s="163"/>
      <c r="R103" s="177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7" s="11" customFormat="1" ht="94.5" x14ac:dyDescent="0.2">
      <c r="A104" s="122">
        <f t="shared" si="6"/>
        <v>94</v>
      </c>
      <c r="B104" s="81" t="s">
        <v>296</v>
      </c>
      <c r="C104" s="17"/>
      <c r="D104" s="139" t="s">
        <v>698</v>
      </c>
      <c r="E104" s="27" t="s">
        <v>8</v>
      </c>
      <c r="F104" s="27" t="s">
        <v>8</v>
      </c>
      <c r="G104" s="27">
        <v>42369</v>
      </c>
      <c r="H104" s="26"/>
      <c r="I104" s="9" t="s">
        <v>8</v>
      </c>
      <c r="J104" s="9" t="s">
        <v>8</v>
      </c>
      <c r="K104" s="9" t="s">
        <v>8</v>
      </c>
      <c r="L104" s="9" t="s">
        <v>8</v>
      </c>
      <c r="M104" s="26" t="s">
        <v>8</v>
      </c>
      <c r="N104" s="191"/>
      <c r="O104" s="191"/>
      <c r="P104" s="163"/>
      <c r="Q104" s="163"/>
      <c r="R104" s="177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</row>
    <row r="105" spans="1:47" ht="84.75" customHeight="1" x14ac:dyDescent="0.2">
      <c r="A105" s="122">
        <f t="shared" si="6"/>
        <v>95</v>
      </c>
      <c r="B105" s="81" t="s">
        <v>297</v>
      </c>
      <c r="C105" s="17"/>
      <c r="D105" s="139" t="s">
        <v>698</v>
      </c>
      <c r="E105" s="26" t="s">
        <v>8</v>
      </c>
      <c r="F105" s="26" t="s">
        <v>8</v>
      </c>
      <c r="G105" s="27">
        <v>42735</v>
      </c>
      <c r="H105" s="26"/>
      <c r="I105" s="9" t="s">
        <v>8</v>
      </c>
      <c r="J105" s="9" t="s">
        <v>8</v>
      </c>
      <c r="K105" s="9" t="s">
        <v>8</v>
      </c>
      <c r="L105" s="9" t="s">
        <v>8</v>
      </c>
      <c r="M105" s="26" t="s">
        <v>8</v>
      </c>
      <c r="N105" s="191"/>
      <c r="O105" s="191"/>
      <c r="P105" s="163"/>
      <c r="Q105" s="163"/>
      <c r="R105" s="177"/>
    </row>
    <row r="106" spans="1:47" ht="128.25" customHeight="1" x14ac:dyDescent="0.2">
      <c r="A106" s="122">
        <f t="shared" si="6"/>
        <v>96</v>
      </c>
      <c r="B106" s="70" t="s">
        <v>61</v>
      </c>
      <c r="C106" s="70"/>
      <c r="D106" s="135" t="s">
        <v>700</v>
      </c>
      <c r="E106" s="79">
        <v>41640</v>
      </c>
      <c r="F106" s="165">
        <v>41640</v>
      </c>
      <c r="G106" s="104">
        <v>42735</v>
      </c>
      <c r="H106" s="101"/>
      <c r="I106" s="23">
        <f>SUM(I107:I108)</f>
        <v>13000</v>
      </c>
      <c r="J106" s="23">
        <f t="shared" ref="J106:K106" si="11">SUM(J107:J108)</f>
        <v>5200</v>
      </c>
      <c r="K106" s="23">
        <f t="shared" si="11"/>
        <v>0</v>
      </c>
      <c r="L106" s="23">
        <v>0</v>
      </c>
      <c r="M106" s="167" t="s">
        <v>62</v>
      </c>
      <c r="N106" s="190"/>
      <c r="O106" s="190"/>
      <c r="P106" s="163"/>
      <c r="Q106" s="163"/>
      <c r="R106" s="163" t="s">
        <v>629</v>
      </c>
    </row>
    <row r="107" spans="1:47" s="14" customFormat="1" ht="126" customHeight="1" x14ac:dyDescent="0.2">
      <c r="A107" s="122">
        <f t="shared" si="6"/>
        <v>97</v>
      </c>
      <c r="B107" s="73" t="s">
        <v>470</v>
      </c>
      <c r="C107" s="71"/>
      <c r="D107" s="135" t="s">
        <v>700</v>
      </c>
      <c r="E107" s="79">
        <v>41640</v>
      </c>
      <c r="F107" s="165">
        <v>41640</v>
      </c>
      <c r="G107" s="104">
        <v>42735</v>
      </c>
      <c r="H107" s="101"/>
      <c r="I107" s="25">
        <v>13000</v>
      </c>
      <c r="J107" s="25">
        <v>5200</v>
      </c>
      <c r="K107" s="25">
        <v>0</v>
      </c>
      <c r="L107" s="25">
        <v>0</v>
      </c>
      <c r="M107" s="166" t="s">
        <v>355</v>
      </c>
      <c r="N107" s="191"/>
      <c r="O107" s="191"/>
      <c r="P107" s="163" t="s">
        <v>626</v>
      </c>
      <c r="Q107" s="163" t="s">
        <v>627</v>
      </c>
      <c r="R107" s="180" t="s">
        <v>644</v>
      </c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1:47" s="14" customFormat="1" ht="139.5" customHeight="1" x14ac:dyDescent="0.2">
      <c r="A108" s="122">
        <f>A107+1</f>
        <v>98</v>
      </c>
      <c r="B108" s="71" t="s">
        <v>63</v>
      </c>
      <c r="C108" s="71"/>
      <c r="D108" s="135" t="s">
        <v>700</v>
      </c>
      <c r="E108" s="79">
        <v>41640</v>
      </c>
      <c r="F108" s="165">
        <v>41640</v>
      </c>
      <c r="G108" s="104">
        <v>42735</v>
      </c>
      <c r="H108" s="53"/>
      <c r="I108" s="32">
        <v>0</v>
      </c>
      <c r="J108" s="25">
        <v>0</v>
      </c>
      <c r="K108" s="25">
        <v>0</v>
      </c>
      <c r="L108" s="25">
        <v>0</v>
      </c>
      <c r="M108" s="166" t="s">
        <v>64</v>
      </c>
      <c r="N108" s="191"/>
      <c r="O108" s="191"/>
      <c r="P108" s="163" t="s">
        <v>626</v>
      </c>
      <c r="Q108" s="163"/>
      <c r="R108" s="180" t="s">
        <v>637</v>
      </c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1:47" s="14" customFormat="1" ht="132.75" customHeight="1" x14ac:dyDescent="0.2">
      <c r="A109" s="122">
        <f t="shared" si="6"/>
        <v>99</v>
      </c>
      <c r="B109" s="120" t="s">
        <v>352</v>
      </c>
      <c r="C109" s="17"/>
      <c r="D109" s="139" t="s">
        <v>700</v>
      </c>
      <c r="E109" s="26" t="s">
        <v>8</v>
      </c>
      <c r="F109" s="26" t="s">
        <v>8</v>
      </c>
      <c r="G109" s="27">
        <v>42004</v>
      </c>
      <c r="H109" s="26"/>
      <c r="I109" s="26" t="s">
        <v>8</v>
      </c>
      <c r="J109" s="26" t="s">
        <v>8</v>
      </c>
      <c r="K109" s="26" t="s">
        <v>8</v>
      </c>
      <c r="L109" s="26" t="s">
        <v>8</v>
      </c>
      <c r="M109" s="26" t="s">
        <v>8</v>
      </c>
      <c r="N109" s="191"/>
      <c r="O109" s="191"/>
      <c r="P109" s="163"/>
      <c r="Q109" s="163"/>
      <c r="R109" s="177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1:47" s="14" customFormat="1" ht="133.5" customHeight="1" x14ac:dyDescent="0.2">
      <c r="A110" s="122">
        <f t="shared" si="6"/>
        <v>100</v>
      </c>
      <c r="B110" s="139" t="s">
        <v>396</v>
      </c>
      <c r="C110" s="17"/>
      <c r="D110" s="139" t="s">
        <v>700</v>
      </c>
      <c r="E110" s="26" t="s">
        <v>8</v>
      </c>
      <c r="F110" s="26" t="s">
        <v>8</v>
      </c>
      <c r="G110" s="27">
        <v>42369</v>
      </c>
      <c r="H110" s="26"/>
      <c r="I110" s="26" t="s">
        <v>8</v>
      </c>
      <c r="J110" s="26" t="s">
        <v>8</v>
      </c>
      <c r="K110" s="26" t="s">
        <v>8</v>
      </c>
      <c r="L110" s="26" t="s">
        <v>8</v>
      </c>
      <c r="M110" s="26" t="s">
        <v>8</v>
      </c>
      <c r="N110" s="191"/>
      <c r="O110" s="191"/>
      <c r="P110" s="163"/>
      <c r="Q110" s="163"/>
      <c r="R110" s="177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1:47" s="14" customFormat="1" ht="140.25" customHeight="1" x14ac:dyDescent="0.2">
      <c r="A111" s="122">
        <f t="shared" si="6"/>
        <v>101</v>
      </c>
      <c r="B111" s="139" t="s">
        <v>397</v>
      </c>
      <c r="C111" s="17"/>
      <c r="D111" s="139" t="s">
        <v>700</v>
      </c>
      <c r="E111" s="26" t="s">
        <v>8</v>
      </c>
      <c r="F111" s="26" t="s">
        <v>8</v>
      </c>
      <c r="G111" s="27">
        <v>42735</v>
      </c>
      <c r="H111" s="26"/>
      <c r="I111" s="26" t="s">
        <v>8</v>
      </c>
      <c r="J111" s="26" t="s">
        <v>8</v>
      </c>
      <c r="K111" s="26" t="s">
        <v>8</v>
      </c>
      <c r="L111" s="26" t="s">
        <v>8</v>
      </c>
      <c r="M111" s="26" t="s">
        <v>8</v>
      </c>
      <c r="N111" s="191"/>
      <c r="O111" s="191"/>
      <c r="P111" s="163"/>
      <c r="Q111" s="163"/>
      <c r="R111" s="177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1:47" s="40" customFormat="1" ht="104.25" customHeight="1" x14ac:dyDescent="0.2">
      <c r="A112" s="122">
        <f>A111+1</f>
        <v>102</v>
      </c>
      <c r="B112" s="78" t="s">
        <v>65</v>
      </c>
      <c r="C112" s="78"/>
      <c r="D112" s="135" t="s">
        <v>698</v>
      </c>
      <c r="E112" s="105">
        <v>41640</v>
      </c>
      <c r="F112" s="172">
        <v>41640</v>
      </c>
      <c r="G112" s="105">
        <v>42735</v>
      </c>
      <c r="H112" s="75"/>
      <c r="I112" s="54">
        <v>0</v>
      </c>
      <c r="J112" s="54">
        <v>0</v>
      </c>
      <c r="K112" s="54">
        <v>0</v>
      </c>
      <c r="L112" s="54">
        <v>0</v>
      </c>
      <c r="M112" s="171" t="s">
        <v>66</v>
      </c>
      <c r="N112" s="190"/>
      <c r="O112" s="190"/>
      <c r="P112" s="163"/>
      <c r="Q112" s="163"/>
      <c r="R112" s="163" t="s">
        <v>629</v>
      </c>
    </row>
    <row r="113" spans="1:47" s="20" customFormat="1" ht="96.75" customHeight="1" x14ac:dyDescent="0.2">
      <c r="A113" s="122">
        <f t="shared" si="6"/>
        <v>103</v>
      </c>
      <c r="B113" s="73" t="s">
        <v>67</v>
      </c>
      <c r="C113" s="72"/>
      <c r="D113" s="135" t="s">
        <v>698</v>
      </c>
      <c r="E113" s="105">
        <v>41640</v>
      </c>
      <c r="F113" s="172">
        <v>41640</v>
      </c>
      <c r="G113" s="105">
        <v>42735</v>
      </c>
      <c r="H113" s="75"/>
      <c r="I113" s="63">
        <v>0</v>
      </c>
      <c r="J113" s="63">
        <v>0</v>
      </c>
      <c r="K113" s="63">
        <v>0</v>
      </c>
      <c r="L113" s="63">
        <v>0</v>
      </c>
      <c r="M113" s="166" t="s">
        <v>351</v>
      </c>
      <c r="N113" s="191"/>
      <c r="O113" s="191"/>
      <c r="P113" s="163" t="s">
        <v>626</v>
      </c>
      <c r="Q113" s="163"/>
      <c r="R113" s="180" t="s">
        <v>645</v>
      </c>
    </row>
    <row r="114" spans="1:47" s="126" customFormat="1" ht="87" customHeight="1" x14ac:dyDescent="0.2">
      <c r="A114" s="122">
        <f t="shared" si="6"/>
        <v>104</v>
      </c>
      <c r="B114" s="73" t="s">
        <v>338</v>
      </c>
      <c r="C114" s="73"/>
      <c r="D114" s="135" t="s">
        <v>698</v>
      </c>
      <c r="E114" s="128">
        <v>41640</v>
      </c>
      <c r="F114" s="172">
        <v>41640</v>
      </c>
      <c r="G114" s="128">
        <v>42735</v>
      </c>
      <c r="H114" s="108"/>
      <c r="I114" s="25">
        <v>0</v>
      </c>
      <c r="J114" s="25">
        <v>0</v>
      </c>
      <c r="K114" s="25">
        <v>0</v>
      </c>
      <c r="L114" s="25">
        <v>0</v>
      </c>
      <c r="M114" s="175" t="s">
        <v>339</v>
      </c>
      <c r="N114" s="191"/>
      <c r="O114" s="191"/>
      <c r="P114" s="163" t="s">
        <v>626</v>
      </c>
      <c r="Q114" s="163"/>
      <c r="R114" s="177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</row>
    <row r="115" spans="1:47" s="20" customFormat="1" ht="100.5" customHeight="1" x14ac:dyDescent="0.2">
      <c r="A115" s="122">
        <f t="shared" si="6"/>
        <v>105</v>
      </c>
      <c r="B115" s="120" t="s">
        <v>497</v>
      </c>
      <c r="C115" s="18"/>
      <c r="D115" s="139" t="s">
        <v>700</v>
      </c>
      <c r="E115" s="26" t="s">
        <v>8</v>
      </c>
      <c r="F115" s="26" t="s">
        <v>8</v>
      </c>
      <c r="G115" s="27">
        <v>42004</v>
      </c>
      <c r="H115" s="26"/>
      <c r="I115" s="26" t="s">
        <v>8</v>
      </c>
      <c r="J115" s="26" t="s">
        <v>8</v>
      </c>
      <c r="K115" s="26" t="s">
        <v>8</v>
      </c>
      <c r="L115" s="26" t="s">
        <v>8</v>
      </c>
      <c r="M115" s="26" t="s">
        <v>8</v>
      </c>
      <c r="N115" s="191"/>
      <c r="O115" s="191"/>
      <c r="P115" s="163"/>
      <c r="Q115" s="163"/>
      <c r="R115" s="177"/>
    </row>
    <row r="116" spans="1:47" s="20" customFormat="1" ht="108.75" customHeight="1" x14ac:dyDescent="0.2">
      <c r="A116" s="122">
        <f>A115+1</f>
        <v>106</v>
      </c>
      <c r="B116" s="139" t="s">
        <v>382</v>
      </c>
      <c r="C116" s="18"/>
      <c r="D116" s="139" t="s">
        <v>700</v>
      </c>
      <c r="E116" s="26" t="s">
        <v>8</v>
      </c>
      <c r="F116" s="26" t="s">
        <v>8</v>
      </c>
      <c r="G116" s="27">
        <v>42369</v>
      </c>
      <c r="H116" s="26"/>
      <c r="I116" s="26" t="s">
        <v>8</v>
      </c>
      <c r="J116" s="26" t="s">
        <v>8</v>
      </c>
      <c r="K116" s="26" t="s">
        <v>8</v>
      </c>
      <c r="L116" s="26" t="s">
        <v>8</v>
      </c>
      <c r="M116" s="26" t="s">
        <v>8</v>
      </c>
      <c r="N116" s="191"/>
      <c r="O116" s="191"/>
      <c r="P116" s="163"/>
      <c r="Q116" s="163"/>
      <c r="R116" s="177"/>
    </row>
    <row r="117" spans="1:47" s="20" customFormat="1" ht="106.5" customHeight="1" x14ac:dyDescent="0.2">
      <c r="A117" s="122">
        <f t="shared" si="6"/>
        <v>107</v>
      </c>
      <c r="B117" s="139" t="s">
        <v>383</v>
      </c>
      <c r="C117" s="18"/>
      <c r="D117" s="139" t="s">
        <v>700</v>
      </c>
      <c r="E117" s="26" t="s">
        <v>8</v>
      </c>
      <c r="F117" s="26" t="s">
        <v>8</v>
      </c>
      <c r="G117" s="27">
        <v>42735</v>
      </c>
      <c r="H117" s="26"/>
      <c r="I117" s="26" t="s">
        <v>8</v>
      </c>
      <c r="J117" s="26" t="s">
        <v>8</v>
      </c>
      <c r="K117" s="26" t="s">
        <v>8</v>
      </c>
      <c r="L117" s="26" t="s">
        <v>8</v>
      </c>
      <c r="M117" s="26" t="s">
        <v>8</v>
      </c>
      <c r="N117" s="191"/>
      <c r="O117" s="191"/>
      <c r="P117" s="163"/>
      <c r="Q117" s="163"/>
      <c r="R117" s="177"/>
    </row>
    <row r="118" spans="1:47" s="5" customFormat="1" ht="106.5" customHeight="1" x14ac:dyDescent="0.2">
      <c r="A118" s="122">
        <f t="shared" si="6"/>
        <v>108</v>
      </c>
      <c r="B118" s="78" t="s">
        <v>68</v>
      </c>
      <c r="C118" s="78"/>
      <c r="D118" s="135" t="s">
        <v>698</v>
      </c>
      <c r="E118" s="105">
        <v>41640</v>
      </c>
      <c r="F118" s="172">
        <v>41640</v>
      </c>
      <c r="G118" s="105">
        <v>42735</v>
      </c>
      <c r="H118" s="116"/>
      <c r="I118" s="54">
        <v>0</v>
      </c>
      <c r="J118" s="54">
        <v>0</v>
      </c>
      <c r="K118" s="54">
        <v>0</v>
      </c>
      <c r="L118" s="54">
        <v>0</v>
      </c>
      <c r="M118" s="171" t="s">
        <v>69</v>
      </c>
      <c r="N118" s="190"/>
      <c r="O118" s="190"/>
      <c r="P118" s="163"/>
      <c r="Q118" s="163"/>
      <c r="R118" s="163" t="s">
        <v>629</v>
      </c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7" s="5" customFormat="1" ht="100.5" customHeight="1" x14ac:dyDescent="0.2">
      <c r="A119" s="122">
        <f t="shared" si="6"/>
        <v>109</v>
      </c>
      <c r="B119" s="73" t="s">
        <v>70</v>
      </c>
      <c r="C119" s="72"/>
      <c r="D119" s="135" t="s">
        <v>698</v>
      </c>
      <c r="E119" s="105">
        <v>41640</v>
      </c>
      <c r="F119" s="172">
        <v>41640</v>
      </c>
      <c r="G119" s="105">
        <v>42735</v>
      </c>
      <c r="H119" s="116"/>
      <c r="I119" s="63">
        <v>0</v>
      </c>
      <c r="J119" s="63">
        <v>0</v>
      </c>
      <c r="K119" s="63">
        <v>0</v>
      </c>
      <c r="L119" s="63">
        <v>0</v>
      </c>
      <c r="M119" s="175" t="s">
        <v>265</v>
      </c>
      <c r="N119" s="191"/>
      <c r="O119" s="191"/>
      <c r="P119" s="163" t="s">
        <v>626</v>
      </c>
      <c r="Q119" s="163"/>
      <c r="R119" s="180" t="s">
        <v>639</v>
      </c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7" s="126" customFormat="1" ht="100.5" customHeight="1" x14ac:dyDescent="0.2">
      <c r="A120" s="122">
        <f>A119+1</f>
        <v>110</v>
      </c>
      <c r="B120" s="73" t="s">
        <v>340</v>
      </c>
      <c r="C120" s="73"/>
      <c r="D120" s="135" t="s">
        <v>698</v>
      </c>
      <c r="E120" s="128">
        <v>41640</v>
      </c>
      <c r="F120" s="172">
        <v>41640</v>
      </c>
      <c r="G120" s="128">
        <v>42735</v>
      </c>
      <c r="H120" s="108"/>
      <c r="I120" s="25">
        <v>0</v>
      </c>
      <c r="J120" s="25">
        <v>0</v>
      </c>
      <c r="K120" s="25">
        <v>0</v>
      </c>
      <c r="L120" s="25">
        <v>0</v>
      </c>
      <c r="M120" s="175" t="s">
        <v>341</v>
      </c>
      <c r="N120" s="191"/>
      <c r="O120" s="191"/>
      <c r="P120" s="163" t="s">
        <v>626</v>
      </c>
      <c r="Q120" s="163"/>
      <c r="R120" s="177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</row>
    <row r="121" spans="1:47" s="5" customFormat="1" ht="131.25" customHeight="1" x14ac:dyDescent="0.2">
      <c r="A121" s="122">
        <f t="shared" si="6"/>
        <v>111</v>
      </c>
      <c r="B121" s="139" t="s">
        <v>398</v>
      </c>
      <c r="C121" s="18"/>
      <c r="D121" s="139" t="s">
        <v>700</v>
      </c>
      <c r="E121" s="26" t="s">
        <v>8</v>
      </c>
      <c r="F121" s="26" t="s">
        <v>8</v>
      </c>
      <c r="G121" s="27">
        <v>42004</v>
      </c>
      <c r="H121" s="26"/>
      <c r="I121" s="26" t="s">
        <v>8</v>
      </c>
      <c r="J121" s="26" t="s">
        <v>8</v>
      </c>
      <c r="K121" s="26" t="s">
        <v>8</v>
      </c>
      <c r="L121" s="26" t="s">
        <v>8</v>
      </c>
      <c r="M121" s="26" t="s">
        <v>8</v>
      </c>
      <c r="N121" s="191"/>
      <c r="O121" s="191"/>
      <c r="P121" s="163"/>
      <c r="Q121" s="163"/>
      <c r="R121" s="177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7" s="40" customFormat="1" ht="133.5" customHeight="1" x14ac:dyDescent="0.2">
      <c r="A122" s="122">
        <f t="shared" si="6"/>
        <v>112</v>
      </c>
      <c r="B122" s="139" t="s">
        <v>399</v>
      </c>
      <c r="C122" s="18"/>
      <c r="D122" s="139" t="s">
        <v>700</v>
      </c>
      <c r="E122" s="26" t="s">
        <v>8</v>
      </c>
      <c r="F122" s="26" t="s">
        <v>8</v>
      </c>
      <c r="G122" s="27">
        <v>42369</v>
      </c>
      <c r="H122" s="26"/>
      <c r="I122" s="26" t="s">
        <v>8</v>
      </c>
      <c r="J122" s="26" t="s">
        <v>8</v>
      </c>
      <c r="K122" s="26" t="s">
        <v>8</v>
      </c>
      <c r="L122" s="26" t="s">
        <v>8</v>
      </c>
      <c r="M122" s="26" t="s">
        <v>8</v>
      </c>
      <c r="N122" s="191"/>
      <c r="O122" s="191"/>
      <c r="P122" s="163"/>
      <c r="Q122" s="163"/>
      <c r="R122" s="177"/>
    </row>
    <row r="123" spans="1:47" s="20" customFormat="1" ht="132" customHeight="1" x14ac:dyDescent="0.2">
      <c r="A123" s="122">
        <f t="shared" si="6"/>
        <v>113</v>
      </c>
      <c r="B123" s="139" t="s">
        <v>400</v>
      </c>
      <c r="C123" s="18"/>
      <c r="D123" s="139" t="s">
        <v>700</v>
      </c>
      <c r="E123" s="26" t="s">
        <v>8</v>
      </c>
      <c r="F123" s="26" t="s">
        <v>8</v>
      </c>
      <c r="G123" s="27">
        <v>42735</v>
      </c>
      <c r="H123" s="26"/>
      <c r="I123" s="26" t="s">
        <v>8</v>
      </c>
      <c r="J123" s="26" t="s">
        <v>8</v>
      </c>
      <c r="K123" s="26" t="s">
        <v>8</v>
      </c>
      <c r="L123" s="26" t="s">
        <v>8</v>
      </c>
      <c r="M123" s="26" t="s">
        <v>8</v>
      </c>
      <c r="N123" s="191"/>
      <c r="O123" s="191"/>
      <c r="P123" s="163"/>
      <c r="Q123" s="163"/>
      <c r="R123" s="177"/>
    </row>
    <row r="124" spans="1:47" s="5" customFormat="1" ht="100.5" customHeight="1" x14ac:dyDescent="0.2">
      <c r="A124" s="122">
        <f>A123+1</f>
        <v>114</v>
      </c>
      <c r="B124" s="70" t="s">
        <v>71</v>
      </c>
      <c r="C124" s="70"/>
      <c r="D124" s="135" t="s">
        <v>701</v>
      </c>
      <c r="E124" s="79">
        <v>41640</v>
      </c>
      <c r="F124" s="165">
        <v>41640</v>
      </c>
      <c r="G124" s="80">
        <v>42735</v>
      </c>
      <c r="H124" s="101"/>
      <c r="I124" s="23">
        <f>I125+I126</f>
        <v>10615.5</v>
      </c>
      <c r="J124" s="23">
        <f t="shared" ref="J124:K124" si="12">J125+J126</f>
        <v>5598.62</v>
      </c>
      <c r="K124" s="23">
        <f t="shared" si="12"/>
        <v>9553.9500000000007</v>
      </c>
      <c r="L124" s="23">
        <v>10615.5</v>
      </c>
      <c r="M124" s="137" t="s">
        <v>72</v>
      </c>
      <c r="N124" s="190"/>
      <c r="O124" s="190"/>
      <c r="P124" s="163"/>
      <c r="Q124" s="163"/>
      <c r="R124" s="163" t="s">
        <v>630</v>
      </c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7" s="40" customFormat="1" ht="75.75" customHeight="1" x14ac:dyDescent="0.2">
      <c r="A125" s="122">
        <f t="shared" si="6"/>
        <v>115</v>
      </c>
      <c r="B125" s="71" t="s">
        <v>471</v>
      </c>
      <c r="C125" s="71"/>
      <c r="D125" s="135" t="s">
        <v>701</v>
      </c>
      <c r="E125" s="79">
        <v>41640</v>
      </c>
      <c r="F125" s="165">
        <v>41640</v>
      </c>
      <c r="G125" s="80">
        <v>42735</v>
      </c>
      <c r="H125" s="101"/>
      <c r="I125" s="34">
        <v>10615.5</v>
      </c>
      <c r="J125" s="25">
        <v>5598.62</v>
      </c>
      <c r="K125" s="32">
        <v>9553.9500000000007</v>
      </c>
      <c r="L125" s="35">
        <v>10615.5</v>
      </c>
      <c r="M125" s="175" t="s">
        <v>73</v>
      </c>
      <c r="N125" s="191"/>
      <c r="O125" s="191"/>
      <c r="P125" s="163" t="s">
        <v>656</v>
      </c>
      <c r="Q125" s="163"/>
      <c r="R125" s="180" t="s">
        <v>646</v>
      </c>
    </row>
    <row r="126" spans="1:47" s="20" customFormat="1" ht="70.5" customHeight="1" x14ac:dyDescent="0.2">
      <c r="A126" s="122">
        <f t="shared" si="6"/>
        <v>116</v>
      </c>
      <c r="B126" s="71" t="s">
        <v>74</v>
      </c>
      <c r="C126" s="71"/>
      <c r="D126" s="135" t="s">
        <v>701</v>
      </c>
      <c r="E126" s="79">
        <v>41640</v>
      </c>
      <c r="F126" s="165">
        <v>41640</v>
      </c>
      <c r="G126" s="80">
        <v>42735</v>
      </c>
      <c r="H126" s="130"/>
      <c r="I126" s="36">
        <v>0</v>
      </c>
      <c r="J126" s="25">
        <v>0</v>
      </c>
      <c r="K126" s="32">
        <v>0</v>
      </c>
      <c r="L126" s="32">
        <v>0</v>
      </c>
      <c r="M126" s="166" t="s">
        <v>75</v>
      </c>
      <c r="N126" s="191"/>
      <c r="O126" s="191"/>
      <c r="P126" s="163" t="s">
        <v>656</v>
      </c>
      <c r="Q126" s="163"/>
      <c r="R126" s="180" t="s">
        <v>646</v>
      </c>
    </row>
    <row r="127" spans="1:47" s="5" customFormat="1" ht="68.25" customHeight="1" x14ac:dyDescent="0.2">
      <c r="A127" s="238">
        <f t="shared" si="6"/>
        <v>117</v>
      </c>
      <c r="B127" s="139" t="s">
        <v>298</v>
      </c>
      <c r="C127" s="17" t="s">
        <v>13</v>
      </c>
      <c r="D127" s="139" t="s">
        <v>701</v>
      </c>
      <c r="E127" s="26" t="s">
        <v>8</v>
      </c>
      <c r="F127" s="26" t="s">
        <v>8</v>
      </c>
      <c r="G127" s="27">
        <v>41670</v>
      </c>
      <c r="H127" s="241" t="s">
        <v>719</v>
      </c>
      <c r="I127" s="26" t="s">
        <v>8</v>
      </c>
      <c r="J127" s="26" t="s">
        <v>8</v>
      </c>
      <c r="K127" s="26" t="s">
        <v>8</v>
      </c>
      <c r="L127" s="26" t="s">
        <v>8</v>
      </c>
      <c r="M127" s="26" t="s">
        <v>8</v>
      </c>
      <c r="N127" s="191"/>
      <c r="O127" s="191"/>
      <c r="P127" s="163"/>
      <c r="Q127" s="163"/>
      <c r="R127" s="177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7" s="11" customFormat="1" ht="89.25" customHeight="1" x14ac:dyDescent="0.2">
      <c r="A128" s="122">
        <f t="shared" si="6"/>
        <v>118</v>
      </c>
      <c r="B128" s="81" t="s">
        <v>299</v>
      </c>
      <c r="C128" s="17" t="s">
        <v>13</v>
      </c>
      <c r="D128" s="139" t="s">
        <v>701</v>
      </c>
      <c r="E128" s="26" t="s">
        <v>8</v>
      </c>
      <c r="F128" s="26" t="s">
        <v>8</v>
      </c>
      <c r="G128" s="27">
        <v>42035</v>
      </c>
      <c r="H128" s="26"/>
      <c r="I128" s="26" t="s">
        <v>8</v>
      </c>
      <c r="J128" s="26" t="s">
        <v>8</v>
      </c>
      <c r="K128" s="26" t="s">
        <v>8</v>
      </c>
      <c r="L128" s="26" t="s">
        <v>8</v>
      </c>
      <c r="M128" s="26" t="s">
        <v>8</v>
      </c>
      <c r="N128" s="191"/>
      <c r="O128" s="191"/>
      <c r="P128" s="163"/>
      <c r="Q128" s="163"/>
      <c r="R128" s="177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</row>
    <row r="129" spans="1:47" ht="88.5" customHeight="1" x14ac:dyDescent="0.2">
      <c r="A129" s="122">
        <f t="shared" si="6"/>
        <v>119</v>
      </c>
      <c r="B129" s="81" t="s">
        <v>300</v>
      </c>
      <c r="C129" s="17" t="s">
        <v>13</v>
      </c>
      <c r="D129" s="139" t="s">
        <v>701</v>
      </c>
      <c r="E129" s="26" t="s">
        <v>8</v>
      </c>
      <c r="F129" s="26" t="s">
        <v>8</v>
      </c>
      <c r="G129" s="27">
        <v>42735</v>
      </c>
      <c r="H129" s="26"/>
      <c r="I129" s="26" t="s">
        <v>8</v>
      </c>
      <c r="J129" s="26" t="s">
        <v>8</v>
      </c>
      <c r="K129" s="26" t="s">
        <v>8</v>
      </c>
      <c r="L129" s="26" t="s">
        <v>8</v>
      </c>
      <c r="M129" s="26" t="s">
        <v>8</v>
      </c>
      <c r="N129" s="191"/>
      <c r="O129" s="191"/>
      <c r="P129" s="163"/>
      <c r="Q129" s="163"/>
      <c r="R129" s="177"/>
    </row>
    <row r="130" spans="1:47" ht="110.25" customHeight="1" x14ac:dyDescent="0.2">
      <c r="A130" s="122">
        <f>A129+1</f>
        <v>120</v>
      </c>
      <c r="B130" s="78" t="s">
        <v>76</v>
      </c>
      <c r="C130" s="78"/>
      <c r="D130" s="73" t="s">
        <v>700</v>
      </c>
      <c r="E130" s="105">
        <v>41640</v>
      </c>
      <c r="F130" s="172">
        <v>41640</v>
      </c>
      <c r="G130" s="105">
        <v>42735</v>
      </c>
      <c r="H130" s="75"/>
      <c r="I130" s="54">
        <v>0</v>
      </c>
      <c r="J130" s="54">
        <v>0</v>
      </c>
      <c r="K130" s="54">
        <v>0</v>
      </c>
      <c r="L130" s="54">
        <v>0</v>
      </c>
      <c r="M130" s="171" t="s">
        <v>77</v>
      </c>
      <c r="N130" s="190"/>
      <c r="O130" s="190"/>
      <c r="P130" s="163"/>
      <c r="Q130" s="163"/>
      <c r="R130" s="163" t="s">
        <v>636</v>
      </c>
    </row>
    <row r="131" spans="1:47" s="14" customFormat="1" ht="147" customHeight="1" x14ac:dyDescent="0.2">
      <c r="A131" s="122">
        <f t="shared" si="6"/>
        <v>121</v>
      </c>
      <c r="B131" s="72" t="s">
        <v>384</v>
      </c>
      <c r="C131" s="72"/>
      <c r="D131" s="135" t="s">
        <v>700</v>
      </c>
      <c r="E131" s="105">
        <v>41640</v>
      </c>
      <c r="F131" s="172">
        <v>41640</v>
      </c>
      <c r="G131" s="105">
        <v>42735</v>
      </c>
      <c r="H131" s="116"/>
      <c r="I131" s="60">
        <v>0</v>
      </c>
      <c r="J131" s="63">
        <v>0</v>
      </c>
      <c r="K131" s="60">
        <v>0</v>
      </c>
      <c r="L131" s="60">
        <v>0</v>
      </c>
      <c r="M131" s="175" t="s">
        <v>264</v>
      </c>
      <c r="N131" s="191"/>
      <c r="O131" s="191"/>
      <c r="P131" s="163" t="s">
        <v>626</v>
      </c>
      <c r="Q131" s="163"/>
      <c r="R131" s="180" t="s">
        <v>639</v>
      </c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1:47" s="14" customFormat="1" ht="105" customHeight="1" x14ac:dyDescent="0.2">
      <c r="A132" s="122">
        <f t="shared" si="6"/>
        <v>122</v>
      </c>
      <c r="B132" s="73" t="s">
        <v>472</v>
      </c>
      <c r="C132" s="72"/>
      <c r="D132" s="135" t="s">
        <v>700</v>
      </c>
      <c r="E132" s="105">
        <v>41640</v>
      </c>
      <c r="F132" s="172">
        <v>41640</v>
      </c>
      <c r="G132" s="105">
        <v>42735</v>
      </c>
      <c r="H132" s="116"/>
      <c r="I132" s="57">
        <v>0</v>
      </c>
      <c r="J132" s="63">
        <v>0</v>
      </c>
      <c r="K132" s="57">
        <v>0</v>
      </c>
      <c r="L132" s="57">
        <v>0</v>
      </c>
      <c r="M132" s="175" t="s">
        <v>421</v>
      </c>
      <c r="N132" s="191"/>
      <c r="O132" s="191"/>
      <c r="P132" s="163" t="s">
        <v>626</v>
      </c>
      <c r="Q132" s="163"/>
      <c r="R132" s="180" t="s">
        <v>639</v>
      </c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1:47" s="11" customFormat="1" ht="186.75" customHeight="1" x14ac:dyDescent="0.2">
      <c r="A133" s="122">
        <f t="shared" si="6"/>
        <v>123</v>
      </c>
      <c r="B133" s="114" t="s">
        <v>301</v>
      </c>
      <c r="C133" s="17"/>
      <c r="D133" s="139" t="s">
        <v>700</v>
      </c>
      <c r="E133" s="26" t="s">
        <v>8</v>
      </c>
      <c r="F133" s="26" t="s">
        <v>8</v>
      </c>
      <c r="G133" s="27">
        <v>42004</v>
      </c>
      <c r="H133" s="26"/>
      <c r="I133" s="26" t="s">
        <v>8</v>
      </c>
      <c r="J133" s="26" t="s">
        <v>8</v>
      </c>
      <c r="K133" s="26" t="s">
        <v>8</v>
      </c>
      <c r="L133" s="26" t="s">
        <v>8</v>
      </c>
      <c r="M133" s="26" t="s">
        <v>8</v>
      </c>
      <c r="N133" s="191"/>
      <c r="O133" s="191"/>
      <c r="P133" s="163"/>
      <c r="Q133" s="163"/>
      <c r="R133" s="177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</row>
    <row r="134" spans="1:47" ht="205.5" customHeight="1" x14ac:dyDescent="0.2">
      <c r="A134" s="122">
        <f>A133+1</f>
        <v>124</v>
      </c>
      <c r="B134" s="139" t="s">
        <v>302</v>
      </c>
      <c r="C134" s="17"/>
      <c r="D134" s="139" t="s">
        <v>700</v>
      </c>
      <c r="E134" s="26" t="s">
        <v>8</v>
      </c>
      <c r="F134" s="26" t="s">
        <v>8</v>
      </c>
      <c r="G134" s="27">
        <v>42369</v>
      </c>
      <c r="H134" s="26"/>
      <c r="I134" s="26" t="s">
        <v>8</v>
      </c>
      <c r="J134" s="26" t="s">
        <v>8</v>
      </c>
      <c r="K134" s="26" t="s">
        <v>8</v>
      </c>
      <c r="L134" s="26" t="s">
        <v>8</v>
      </c>
      <c r="M134" s="26" t="s">
        <v>8</v>
      </c>
      <c r="N134" s="191"/>
      <c r="O134" s="191"/>
      <c r="P134" s="163"/>
      <c r="Q134" s="163"/>
      <c r="R134" s="177"/>
    </row>
    <row r="135" spans="1:47" ht="99.75" customHeight="1" x14ac:dyDescent="0.2">
      <c r="A135" s="122">
        <f t="shared" si="6"/>
        <v>125</v>
      </c>
      <c r="B135" s="139" t="s">
        <v>418</v>
      </c>
      <c r="C135" s="17"/>
      <c r="D135" s="139" t="s">
        <v>700</v>
      </c>
      <c r="E135" s="26" t="s">
        <v>8</v>
      </c>
      <c r="F135" s="26" t="s">
        <v>8</v>
      </c>
      <c r="G135" s="27">
        <v>42735</v>
      </c>
      <c r="H135" s="26"/>
      <c r="I135" s="26" t="s">
        <v>8</v>
      </c>
      <c r="J135" s="26" t="s">
        <v>8</v>
      </c>
      <c r="K135" s="26" t="s">
        <v>8</v>
      </c>
      <c r="L135" s="26" t="s">
        <v>8</v>
      </c>
      <c r="M135" s="26" t="s">
        <v>8</v>
      </c>
      <c r="N135" s="191"/>
      <c r="O135" s="191"/>
      <c r="P135" s="163"/>
      <c r="Q135" s="163"/>
      <c r="R135" s="177"/>
    </row>
    <row r="136" spans="1:47" s="18" customFormat="1" ht="96" customHeight="1" x14ac:dyDescent="0.2">
      <c r="A136" s="122">
        <f t="shared" ref="A136:A155" si="13">A135+1</f>
        <v>126</v>
      </c>
      <c r="B136" s="78" t="s">
        <v>78</v>
      </c>
      <c r="C136" s="61"/>
      <c r="D136" s="135" t="s">
        <v>698</v>
      </c>
      <c r="E136" s="105">
        <v>41640</v>
      </c>
      <c r="F136" s="172">
        <v>41640</v>
      </c>
      <c r="G136" s="105">
        <v>42735</v>
      </c>
      <c r="H136" s="113"/>
      <c r="I136" s="55">
        <v>0</v>
      </c>
      <c r="J136" s="55">
        <v>0</v>
      </c>
      <c r="K136" s="55">
        <v>0</v>
      </c>
      <c r="L136" s="55">
        <v>0</v>
      </c>
      <c r="M136" s="171" t="s">
        <v>79</v>
      </c>
      <c r="N136" s="190"/>
      <c r="O136" s="190"/>
      <c r="P136" s="163"/>
      <c r="Q136" s="163"/>
      <c r="R136" s="163" t="s">
        <v>629</v>
      </c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1:47" s="19" customFormat="1" ht="78.75" x14ac:dyDescent="0.2">
      <c r="A137" s="122">
        <f t="shared" si="13"/>
        <v>127</v>
      </c>
      <c r="B137" s="73" t="s">
        <v>80</v>
      </c>
      <c r="C137" s="62"/>
      <c r="D137" s="135" t="s">
        <v>698</v>
      </c>
      <c r="E137" s="105">
        <v>41640</v>
      </c>
      <c r="F137" s="172">
        <v>41640</v>
      </c>
      <c r="G137" s="105">
        <v>42735</v>
      </c>
      <c r="H137" s="113"/>
      <c r="I137" s="59">
        <v>0</v>
      </c>
      <c r="J137" s="59">
        <v>0</v>
      </c>
      <c r="K137" s="59">
        <v>0</v>
      </c>
      <c r="L137" s="59">
        <v>0</v>
      </c>
      <c r="M137" s="175" t="s">
        <v>265</v>
      </c>
      <c r="N137" s="191"/>
      <c r="O137" s="191"/>
      <c r="P137" s="163" t="s">
        <v>626</v>
      </c>
      <c r="Q137" s="163"/>
      <c r="R137" s="180" t="s">
        <v>647</v>
      </c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1:47" s="127" customFormat="1" ht="78.75" x14ac:dyDescent="0.2">
      <c r="A138" s="122">
        <f t="shared" si="13"/>
        <v>128</v>
      </c>
      <c r="B138" s="73" t="s">
        <v>342</v>
      </c>
      <c r="C138" s="135"/>
      <c r="D138" s="135" t="s">
        <v>698</v>
      </c>
      <c r="E138" s="128">
        <v>41640</v>
      </c>
      <c r="F138" s="172">
        <v>41640</v>
      </c>
      <c r="G138" s="128">
        <v>42735</v>
      </c>
      <c r="H138" s="108"/>
      <c r="I138" s="37">
        <v>0</v>
      </c>
      <c r="J138" s="37">
        <v>0</v>
      </c>
      <c r="K138" s="37">
        <v>0</v>
      </c>
      <c r="L138" s="37">
        <v>0</v>
      </c>
      <c r="M138" s="175" t="s">
        <v>343</v>
      </c>
      <c r="N138" s="191"/>
      <c r="O138" s="191"/>
      <c r="P138" s="163" t="s">
        <v>626</v>
      </c>
      <c r="Q138" s="163"/>
      <c r="R138" s="180" t="s">
        <v>647</v>
      </c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126"/>
      <c r="AP138" s="126"/>
      <c r="AQ138" s="126"/>
      <c r="AR138" s="126"/>
      <c r="AS138" s="126"/>
      <c r="AT138" s="126"/>
      <c r="AU138" s="126"/>
    </row>
    <row r="139" spans="1:47" s="19" customFormat="1" ht="106.5" customHeight="1" x14ac:dyDescent="0.2">
      <c r="A139" s="122">
        <f t="shared" si="13"/>
        <v>129</v>
      </c>
      <c r="B139" s="139" t="s">
        <v>401</v>
      </c>
      <c r="C139" s="18"/>
      <c r="D139" s="139" t="s">
        <v>698</v>
      </c>
      <c r="E139" s="26" t="s">
        <v>8</v>
      </c>
      <c r="F139" s="26" t="s">
        <v>8</v>
      </c>
      <c r="G139" s="27">
        <v>42004</v>
      </c>
      <c r="H139" s="26"/>
      <c r="I139" s="26" t="s">
        <v>8</v>
      </c>
      <c r="J139" s="26" t="s">
        <v>8</v>
      </c>
      <c r="K139" s="26" t="s">
        <v>8</v>
      </c>
      <c r="L139" s="26" t="s">
        <v>8</v>
      </c>
      <c r="M139" s="26" t="s">
        <v>8</v>
      </c>
      <c r="N139" s="191"/>
      <c r="O139" s="191"/>
      <c r="P139" s="163"/>
      <c r="Q139" s="163"/>
      <c r="R139" s="177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1:47" s="11" customFormat="1" ht="107.25" customHeight="1" x14ac:dyDescent="0.2">
      <c r="A140" s="122">
        <f t="shared" si="13"/>
        <v>130</v>
      </c>
      <c r="B140" s="139" t="s">
        <v>402</v>
      </c>
      <c r="C140" s="18"/>
      <c r="D140" s="139" t="s">
        <v>698</v>
      </c>
      <c r="E140" s="26" t="s">
        <v>8</v>
      </c>
      <c r="F140" s="26" t="s">
        <v>8</v>
      </c>
      <c r="G140" s="27">
        <v>42369</v>
      </c>
      <c r="H140" s="26"/>
      <c r="I140" s="26" t="s">
        <v>8</v>
      </c>
      <c r="J140" s="26" t="s">
        <v>8</v>
      </c>
      <c r="K140" s="26" t="s">
        <v>8</v>
      </c>
      <c r="L140" s="26" t="s">
        <v>8</v>
      </c>
      <c r="M140" s="26" t="s">
        <v>8</v>
      </c>
      <c r="N140" s="191"/>
      <c r="O140" s="191"/>
      <c r="P140" s="163"/>
      <c r="Q140" s="163"/>
      <c r="R140" s="177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</row>
    <row r="141" spans="1:47" ht="114" customHeight="1" x14ac:dyDescent="0.2">
      <c r="A141" s="122">
        <f t="shared" si="13"/>
        <v>131</v>
      </c>
      <c r="B141" s="139" t="s">
        <v>403</v>
      </c>
      <c r="C141" s="18"/>
      <c r="D141" s="139" t="s">
        <v>698</v>
      </c>
      <c r="E141" s="26" t="s">
        <v>8</v>
      </c>
      <c r="F141" s="26" t="s">
        <v>8</v>
      </c>
      <c r="G141" s="27">
        <v>42735</v>
      </c>
      <c r="H141" s="26"/>
      <c r="I141" s="26" t="s">
        <v>8</v>
      </c>
      <c r="J141" s="26" t="s">
        <v>8</v>
      </c>
      <c r="K141" s="26" t="s">
        <v>8</v>
      </c>
      <c r="L141" s="26" t="s">
        <v>8</v>
      </c>
      <c r="M141" s="26" t="s">
        <v>8</v>
      </c>
      <c r="N141" s="191"/>
      <c r="O141" s="191"/>
      <c r="P141" s="163"/>
      <c r="Q141" s="163"/>
      <c r="R141" s="177"/>
    </row>
    <row r="142" spans="1:47" ht="94.5" x14ac:dyDescent="0.2">
      <c r="A142" s="122">
        <f t="shared" si="13"/>
        <v>132</v>
      </c>
      <c r="B142" s="78" t="s">
        <v>81</v>
      </c>
      <c r="C142" s="61"/>
      <c r="D142" s="73" t="s">
        <v>700</v>
      </c>
      <c r="E142" s="105">
        <v>41640</v>
      </c>
      <c r="F142" s="172">
        <v>41640</v>
      </c>
      <c r="G142" s="105">
        <v>42735</v>
      </c>
      <c r="H142" s="113"/>
      <c r="I142" s="55">
        <v>0</v>
      </c>
      <c r="J142" s="55">
        <v>0</v>
      </c>
      <c r="K142" s="55">
        <v>0</v>
      </c>
      <c r="L142" s="55">
        <v>0</v>
      </c>
      <c r="M142" s="171" t="s">
        <v>82</v>
      </c>
      <c r="N142" s="190"/>
      <c r="O142" s="190"/>
      <c r="P142" s="163"/>
      <c r="Q142" s="163"/>
      <c r="R142" s="163" t="s">
        <v>629</v>
      </c>
    </row>
    <row r="143" spans="1:47" s="14" customFormat="1" ht="94.5" x14ac:dyDescent="0.2">
      <c r="A143" s="122">
        <f t="shared" si="13"/>
        <v>133</v>
      </c>
      <c r="B143" s="73" t="s">
        <v>83</v>
      </c>
      <c r="C143" s="62"/>
      <c r="D143" s="135" t="s">
        <v>700</v>
      </c>
      <c r="E143" s="105">
        <v>41640</v>
      </c>
      <c r="F143" s="172">
        <v>41640</v>
      </c>
      <c r="G143" s="105">
        <v>42735</v>
      </c>
      <c r="H143" s="113"/>
      <c r="I143" s="59">
        <v>0</v>
      </c>
      <c r="J143" s="59">
        <v>0</v>
      </c>
      <c r="K143" s="59">
        <v>0</v>
      </c>
      <c r="L143" s="59">
        <v>0</v>
      </c>
      <c r="M143" s="175" t="s">
        <v>265</v>
      </c>
      <c r="N143" s="191"/>
      <c r="O143" s="191"/>
      <c r="P143" s="163" t="s">
        <v>626</v>
      </c>
      <c r="Q143" s="163"/>
      <c r="R143" s="180" t="s">
        <v>642</v>
      </c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1:47" s="126" customFormat="1" ht="94.5" x14ac:dyDescent="0.2">
      <c r="A144" s="122">
        <f t="shared" si="13"/>
        <v>134</v>
      </c>
      <c r="B144" s="73" t="s">
        <v>344</v>
      </c>
      <c r="C144" s="135"/>
      <c r="D144" s="135" t="s">
        <v>700</v>
      </c>
      <c r="E144" s="131">
        <v>41640</v>
      </c>
      <c r="F144" s="172">
        <v>41640</v>
      </c>
      <c r="G144" s="131">
        <v>42735</v>
      </c>
      <c r="H144" s="108"/>
      <c r="I144" s="37">
        <v>0</v>
      </c>
      <c r="J144" s="37">
        <v>0</v>
      </c>
      <c r="K144" s="37">
        <v>0</v>
      </c>
      <c r="L144" s="37">
        <v>0</v>
      </c>
      <c r="M144" s="175" t="s">
        <v>345</v>
      </c>
      <c r="N144" s="191"/>
      <c r="O144" s="191"/>
      <c r="P144" s="163" t="s">
        <v>626</v>
      </c>
      <c r="Q144" s="163"/>
      <c r="R144" s="177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</row>
    <row r="145" spans="1:47" s="11" customFormat="1" ht="117" customHeight="1" x14ac:dyDescent="0.2">
      <c r="A145" s="122">
        <f t="shared" si="13"/>
        <v>135</v>
      </c>
      <c r="B145" s="139" t="s">
        <v>404</v>
      </c>
      <c r="C145" s="18"/>
      <c r="D145" s="139" t="s">
        <v>700</v>
      </c>
      <c r="E145" s="26" t="s">
        <v>8</v>
      </c>
      <c r="F145" s="26" t="s">
        <v>8</v>
      </c>
      <c r="G145" s="27">
        <v>42004</v>
      </c>
      <c r="H145" s="26"/>
      <c r="I145" s="26" t="s">
        <v>8</v>
      </c>
      <c r="J145" s="26" t="s">
        <v>8</v>
      </c>
      <c r="K145" s="26" t="s">
        <v>8</v>
      </c>
      <c r="L145" s="26" t="s">
        <v>8</v>
      </c>
      <c r="M145" s="26" t="s">
        <v>8</v>
      </c>
      <c r="N145" s="191"/>
      <c r="O145" s="191"/>
      <c r="P145" s="163"/>
      <c r="Q145" s="163"/>
      <c r="R145" s="177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</row>
    <row r="146" spans="1:47" ht="111" customHeight="1" x14ac:dyDescent="0.2">
      <c r="A146" s="122">
        <f t="shared" si="13"/>
        <v>136</v>
      </c>
      <c r="B146" s="139" t="s">
        <v>405</v>
      </c>
      <c r="C146" s="18"/>
      <c r="D146" s="139" t="s">
        <v>700</v>
      </c>
      <c r="E146" s="26" t="s">
        <v>8</v>
      </c>
      <c r="F146" s="26" t="s">
        <v>8</v>
      </c>
      <c r="G146" s="27">
        <v>42369</v>
      </c>
      <c r="H146" s="26"/>
      <c r="I146" s="26" t="s">
        <v>8</v>
      </c>
      <c r="J146" s="26" t="s">
        <v>8</v>
      </c>
      <c r="K146" s="26" t="s">
        <v>8</v>
      </c>
      <c r="L146" s="26" t="s">
        <v>8</v>
      </c>
      <c r="M146" s="26" t="s">
        <v>8</v>
      </c>
      <c r="N146" s="191"/>
      <c r="O146" s="191"/>
      <c r="P146" s="163"/>
      <c r="Q146" s="163"/>
      <c r="R146" s="177"/>
    </row>
    <row r="147" spans="1:47" ht="97.5" customHeight="1" x14ac:dyDescent="0.2">
      <c r="A147" s="122">
        <f t="shared" si="13"/>
        <v>137</v>
      </c>
      <c r="B147" s="139" t="s">
        <v>406</v>
      </c>
      <c r="C147" s="18"/>
      <c r="D147" s="139" t="s">
        <v>700</v>
      </c>
      <c r="E147" s="26" t="s">
        <v>8</v>
      </c>
      <c r="F147" s="26" t="s">
        <v>8</v>
      </c>
      <c r="G147" s="27">
        <v>42735</v>
      </c>
      <c r="H147" s="26"/>
      <c r="I147" s="26" t="s">
        <v>8</v>
      </c>
      <c r="J147" s="26" t="s">
        <v>8</v>
      </c>
      <c r="K147" s="26" t="s">
        <v>8</v>
      </c>
      <c r="L147" s="26" t="s">
        <v>8</v>
      </c>
      <c r="M147" s="26" t="s">
        <v>8</v>
      </c>
      <c r="N147" s="191"/>
      <c r="O147" s="191"/>
      <c r="P147" s="163"/>
      <c r="Q147" s="163"/>
      <c r="R147" s="177"/>
    </row>
    <row r="148" spans="1:47" s="14" customFormat="1" ht="121.5" customHeight="1" x14ac:dyDescent="0.2">
      <c r="A148" s="122">
        <f t="shared" si="13"/>
        <v>138</v>
      </c>
      <c r="B148" s="70" t="s">
        <v>84</v>
      </c>
      <c r="C148" s="70"/>
      <c r="D148" s="135" t="s">
        <v>698</v>
      </c>
      <c r="E148" s="79">
        <v>41640</v>
      </c>
      <c r="F148" s="165">
        <v>41640</v>
      </c>
      <c r="G148" s="80">
        <v>42735</v>
      </c>
      <c r="H148" s="101"/>
      <c r="I148" s="23">
        <f>I149</f>
        <v>4315.8631999999998</v>
      </c>
      <c r="J148" s="23">
        <f t="shared" ref="J148:K148" si="14">J149</f>
        <v>1726.35</v>
      </c>
      <c r="K148" s="23">
        <f t="shared" si="14"/>
        <v>0</v>
      </c>
      <c r="L148" s="23">
        <f>L149</f>
        <v>3333.5016000000001</v>
      </c>
      <c r="M148" s="167" t="s">
        <v>85</v>
      </c>
      <c r="N148" s="190"/>
      <c r="O148" s="190"/>
      <c r="P148" s="163"/>
      <c r="Q148" s="163"/>
      <c r="R148" s="163" t="s">
        <v>643</v>
      </c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1:47" s="11" customFormat="1" ht="102" customHeight="1" x14ac:dyDescent="0.2">
      <c r="A149" s="122">
        <f t="shared" si="13"/>
        <v>139</v>
      </c>
      <c r="B149" s="71" t="s">
        <v>473</v>
      </c>
      <c r="C149" s="71"/>
      <c r="D149" s="135" t="s">
        <v>698</v>
      </c>
      <c r="E149" s="79">
        <v>41640</v>
      </c>
      <c r="F149" s="165">
        <v>41640</v>
      </c>
      <c r="G149" s="80">
        <v>42735</v>
      </c>
      <c r="H149" s="101"/>
      <c r="I149" s="25">
        <f>4315863.2/1000</f>
        <v>4315.8631999999998</v>
      </c>
      <c r="J149" s="25">
        <v>1726.35</v>
      </c>
      <c r="K149" s="25">
        <v>0</v>
      </c>
      <c r="L149" s="25">
        <f>3333501.6/1000</f>
        <v>3333.5016000000001</v>
      </c>
      <c r="M149" s="166" t="s">
        <v>269</v>
      </c>
      <c r="N149" s="191"/>
      <c r="O149" s="191"/>
      <c r="P149" s="163" t="s">
        <v>626</v>
      </c>
      <c r="Q149" s="163" t="s">
        <v>627</v>
      </c>
      <c r="R149" s="180" t="s">
        <v>648</v>
      </c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</row>
    <row r="150" spans="1:47" ht="107.25" customHeight="1" x14ac:dyDescent="0.2">
      <c r="A150" s="122">
        <f t="shared" si="13"/>
        <v>140</v>
      </c>
      <c r="B150" s="71" t="s">
        <v>86</v>
      </c>
      <c r="C150" s="71"/>
      <c r="D150" s="135" t="s">
        <v>698</v>
      </c>
      <c r="E150" s="79">
        <v>41640</v>
      </c>
      <c r="F150" s="165">
        <v>41640</v>
      </c>
      <c r="G150" s="80">
        <v>42735</v>
      </c>
      <c r="H150" s="53"/>
      <c r="I150" s="24">
        <v>0</v>
      </c>
      <c r="J150" s="24">
        <v>0</v>
      </c>
      <c r="K150" s="24">
        <v>0</v>
      </c>
      <c r="L150" s="24">
        <v>0</v>
      </c>
      <c r="M150" s="166" t="s">
        <v>87</v>
      </c>
      <c r="N150" s="191"/>
      <c r="O150" s="191"/>
      <c r="P150" s="163" t="s">
        <v>626</v>
      </c>
      <c r="Q150" s="163"/>
      <c r="R150" s="180" t="s">
        <v>637</v>
      </c>
    </row>
    <row r="151" spans="1:47" ht="101.25" customHeight="1" x14ac:dyDescent="0.2">
      <c r="A151" s="122">
        <f t="shared" si="13"/>
        <v>141</v>
      </c>
      <c r="B151" s="112" t="s">
        <v>316</v>
      </c>
      <c r="C151" s="17" t="s">
        <v>13</v>
      </c>
      <c r="D151" s="139" t="s">
        <v>698</v>
      </c>
      <c r="E151" s="26" t="s">
        <v>8</v>
      </c>
      <c r="F151" s="26" t="s">
        <v>8</v>
      </c>
      <c r="G151" s="27">
        <v>42004</v>
      </c>
      <c r="H151" s="26"/>
      <c r="I151" s="9" t="s">
        <v>8</v>
      </c>
      <c r="J151" s="9" t="s">
        <v>8</v>
      </c>
      <c r="K151" s="9" t="s">
        <v>8</v>
      </c>
      <c r="L151" s="9" t="s">
        <v>8</v>
      </c>
      <c r="M151" s="26" t="s">
        <v>8</v>
      </c>
      <c r="N151" s="191"/>
      <c r="O151" s="191"/>
      <c r="P151" s="163"/>
      <c r="Q151" s="163"/>
      <c r="R151" s="177"/>
    </row>
    <row r="152" spans="1:47" ht="103.5" customHeight="1" x14ac:dyDescent="0.2">
      <c r="A152" s="122">
        <f t="shared" si="13"/>
        <v>142</v>
      </c>
      <c r="B152" s="81" t="s">
        <v>368</v>
      </c>
      <c r="C152" s="17"/>
      <c r="D152" s="139" t="s">
        <v>698</v>
      </c>
      <c r="E152" s="26" t="s">
        <v>8</v>
      </c>
      <c r="F152" s="26" t="s">
        <v>8</v>
      </c>
      <c r="G152" s="27">
        <v>42369</v>
      </c>
      <c r="H152" s="26"/>
      <c r="I152" s="9" t="s">
        <v>8</v>
      </c>
      <c r="J152" s="9" t="s">
        <v>8</v>
      </c>
      <c r="K152" s="9" t="s">
        <v>8</v>
      </c>
      <c r="L152" s="9" t="s">
        <v>8</v>
      </c>
      <c r="M152" s="26" t="s">
        <v>8</v>
      </c>
      <c r="N152" s="191"/>
      <c r="O152" s="191"/>
      <c r="P152" s="163"/>
      <c r="Q152" s="163"/>
      <c r="R152" s="177"/>
    </row>
    <row r="153" spans="1:47" s="14" customFormat="1" ht="103.5" customHeight="1" x14ac:dyDescent="0.2">
      <c r="A153" s="122">
        <f t="shared" si="13"/>
        <v>143</v>
      </c>
      <c r="B153" s="81" t="s">
        <v>369</v>
      </c>
      <c r="C153" s="17"/>
      <c r="D153" s="139" t="s">
        <v>698</v>
      </c>
      <c r="E153" s="26" t="s">
        <v>8</v>
      </c>
      <c r="F153" s="26" t="s">
        <v>8</v>
      </c>
      <c r="G153" s="27">
        <v>42735</v>
      </c>
      <c r="H153" s="26"/>
      <c r="I153" s="9" t="s">
        <v>8</v>
      </c>
      <c r="J153" s="9" t="s">
        <v>8</v>
      </c>
      <c r="K153" s="9" t="s">
        <v>8</v>
      </c>
      <c r="L153" s="9" t="s">
        <v>8</v>
      </c>
      <c r="M153" s="26" t="s">
        <v>8</v>
      </c>
      <c r="N153" s="191"/>
      <c r="O153" s="191"/>
      <c r="P153" s="163"/>
      <c r="Q153" s="163"/>
      <c r="R153" s="177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1:47" s="14" customFormat="1" ht="121.5" customHeight="1" x14ac:dyDescent="0.2">
      <c r="A154" s="122">
        <f t="shared" si="13"/>
        <v>144</v>
      </c>
      <c r="B154" s="70" t="s">
        <v>88</v>
      </c>
      <c r="C154" s="70"/>
      <c r="D154" s="135" t="s">
        <v>698</v>
      </c>
      <c r="E154" s="79">
        <v>41640</v>
      </c>
      <c r="F154" s="165">
        <v>41640</v>
      </c>
      <c r="G154" s="80">
        <v>42735</v>
      </c>
      <c r="H154" s="101"/>
      <c r="I154" s="23">
        <f>I155</f>
        <v>8181.9715999999999</v>
      </c>
      <c r="J154" s="23">
        <f t="shared" ref="J154:K154" si="15">J155</f>
        <v>3272.79</v>
      </c>
      <c r="K154" s="23">
        <f t="shared" si="15"/>
        <v>409</v>
      </c>
      <c r="L154" s="23">
        <f>L155</f>
        <v>6418.6736000000001</v>
      </c>
      <c r="M154" s="45" t="s">
        <v>89</v>
      </c>
      <c r="N154" s="190"/>
      <c r="O154" s="190"/>
      <c r="P154" s="163"/>
      <c r="Q154" s="163"/>
      <c r="R154" s="163" t="s">
        <v>630</v>
      </c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1:47" s="14" customFormat="1" ht="105.75" customHeight="1" x14ac:dyDescent="0.2">
      <c r="A155" s="122">
        <f t="shared" si="13"/>
        <v>145</v>
      </c>
      <c r="B155" s="71" t="s">
        <v>474</v>
      </c>
      <c r="C155" s="71"/>
      <c r="D155" s="135" t="s">
        <v>698</v>
      </c>
      <c r="E155" s="79">
        <v>41640</v>
      </c>
      <c r="F155" s="165">
        <v>41640</v>
      </c>
      <c r="G155" s="80">
        <v>42735</v>
      </c>
      <c r="H155" s="101"/>
      <c r="I155" s="25">
        <f>8181971.6/1000</f>
        <v>8181.9715999999999</v>
      </c>
      <c r="J155" s="25">
        <v>3272.79</v>
      </c>
      <c r="K155" s="25">
        <v>409</v>
      </c>
      <c r="L155" s="25">
        <f>6418673.6/1000</f>
        <v>6418.6736000000001</v>
      </c>
      <c r="M155" s="175" t="s">
        <v>262</v>
      </c>
      <c r="N155" s="191"/>
      <c r="O155" s="191"/>
      <c r="P155" s="163" t="s">
        <v>626</v>
      </c>
      <c r="Q155" s="163" t="s">
        <v>627</v>
      </c>
      <c r="R155" s="180" t="s">
        <v>640</v>
      </c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1:47" s="11" customFormat="1" ht="98.25" customHeight="1" x14ac:dyDescent="0.2">
      <c r="A156" s="122">
        <f t="shared" ref="A156:A162" si="16">A155+1</f>
        <v>146</v>
      </c>
      <c r="B156" s="71" t="s">
        <v>90</v>
      </c>
      <c r="C156" s="71"/>
      <c r="D156" s="135" t="s">
        <v>698</v>
      </c>
      <c r="E156" s="79">
        <v>41640</v>
      </c>
      <c r="F156" s="165">
        <v>41640</v>
      </c>
      <c r="G156" s="80">
        <v>42735</v>
      </c>
      <c r="H156" s="108"/>
      <c r="I156" s="24">
        <v>0</v>
      </c>
      <c r="J156" s="24">
        <v>0</v>
      </c>
      <c r="K156" s="24">
        <v>0</v>
      </c>
      <c r="L156" s="24">
        <v>0</v>
      </c>
      <c r="M156" s="166" t="s">
        <v>91</v>
      </c>
      <c r="N156" s="191"/>
      <c r="O156" s="191"/>
      <c r="P156" s="163" t="s">
        <v>626</v>
      </c>
      <c r="Q156" s="163"/>
      <c r="R156" s="180" t="s">
        <v>649</v>
      </c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</row>
    <row r="157" spans="1:47" ht="102.75" customHeight="1" x14ac:dyDescent="0.2">
      <c r="A157" s="122">
        <f t="shared" si="16"/>
        <v>147</v>
      </c>
      <c r="B157" s="114" t="s">
        <v>303</v>
      </c>
      <c r="C157" s="17"/>
      <c r="D157" s="139" t="s">
        <v>698</v>
      </c>
      <c r="E157" s="26" t="s">
        <v>8</v>
      </c>
      <c r="F157" s="26" t="s">
        <v>8</v>
      </c>
      <c r="G157" s="27">
        <v>42004</v>
      </c>
      <c r="H157" s="26"/>
      <c r="I157" s="26" t="s">
        <v>8</v>
      </c>
      <c r="J157" s="26" t="s">
        <v>8</v>
      </c>
      <c r="K157" s="26" t="s">
        <v>8</v>
      </c>
      <c r="L157" s="26" t="s">
        <v>8</v>
      </c>
      <c r="M157" s="26" t="s">
        <v>8</v>
      </c>
      <c r="N157" s="191"/>
      <c r="O157" s="191"/>
      <c r="P157" s="163"/>
      <c r="Q157" s="163"/>
      <c r="R157" s="177"/>
    </row>
    <row r="158" spans="1:47" ht="106.5" customHeight="1" x14ac:dyDescent="0.2">
      <c r="A158" s="122">
        <f t="shared" si="16"/>
        <v>148</v>
      </c>
      <c r="B158" s="81" t="s">
        <v>370</v>
      </c>
      <c r="C158" s="17"/>
      <c r="D158" s="139" t="s">
        <v>698</v>
      </c>
      <c r="E158" s="26" t="s">
        <v>8</v>
      </c>
      <c r="F158" s="26" t="s">
        <v>8</v>
      </c>
      <c r="G158" s="27">
        <v>42369</v>
      </c>
      <c r="H158" s="26"/>
      <c r="I158" s="26" t="s">
        <v>8</v>
      </c>
      <c r="J158" s="26" t="s">
        <v>8</v>
      </c>
      <c r="K158" s="26" t="s">
        <v>8</v>
      </c>
      <c r="L158" s="26" t="s">
        <v>8</v>
      </c>
      <c r="M158" s="26" t="s">
        <v>8</v>
      </c>
      <c r="N158" s="191"/>
      <c r="O158" s="191"/>
      <c r="P158" s="163"/>
      <c r="Q158" s="163"/>
      <c r="R158" s="177"/>
    </row>
    <row r="159" spans="1:47" s="14" customFormat="1" ht="104.25" customHeight="1" x14ac:dyDescent="0.2">
      <c r="A159" s="122">
        <f t="shared" si="16"/>
        <v>149</v>
      </c>
      <c r="B159" s="81" t="s">
        <v>371</v>
      </c>
      <c r="C159" s="17"/>
      <c r="D159" s="139" t="s">
        <v>698</v>
      </c>
      <c r="E159" s="26" t="s">
        <v>8</v>
      </c>
      <c r="F159" s="26" t="s">
        <v>8</v>
      </c>
      <c r="G159" s="27">
        <v>42735</v>
      </c>
      <c r="H159" s="26"/>
      <c r="I159" s="26" t="s">
        <v>8</v>
      </c>
      <c r="J159" s="26" t="s">
        <v>8</v>
      </c>
      <c r="K159" s="26" t="s">
        <v>8</v>
      </c>
      <c r="L159" s="26" t="s">
        <v>8</v>
      </c>
      <c r="M159" s="26" t="s">
        <v>8</v>
      </c>
      <c r="N159" s="191"/>
      <c r="O159" s="191"/>
      <c r="P159" s="163"/>
      <c r="Q159" s="163"/>
      <c r="R159" s="177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</row>
    <row r="160" spans="1:47" s="11" customFormat="1" ht="86.25" customHeight="1" x14ac:dyDescent="0.2">
      <c r="A160" s="122">
        <f t="shared" si="16"/>
        <v>150</v>
      </c>
      <c r="B160" s="70" t="s">
        <v>92</v>
      </c>
      <c r="C160" s="70"/>
      <c r="D160" s="135" t="s">
        <v>698</v>
      </c>
      <c r="E160" s="79">
        <v>41640</v>
      </c>
      <c r="F160" s="165">
        <v>41640</v>
      </c>
      <c r="G160" s="104">
        <v>42735</v>
      </c>
      <c r="H160" s="101"/>
      <c r="I160" s="23">
        <f>I161</f>
        <v>9283.2436199999993</v>
      </c>
      <c r="J160" s="23">
        <f t="shared" ref="J160:K160" si="17">J161</f>
        <v>6975</v>
      </c>
      <c r="K160" s="23">
        <f t="shared" si="17"/>
        <v>6779.64</v>
      </c>
      <c r="L160" s="23">
        <v>0</v>
      </c>
      <c r="M160" s="167" t="s">
        <v>93</v>
      </c>
      <c r="N160" s="190"/>
      <c r="O160" s="190"/>
      <c r="P160" s="163"/>
      <c r="Q160" s="163"/>
      <c r="R160" s="163" t="s">
        <v>629</v>
      </c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</row>
    <row r="161" spans="1:47" ht="86.25" customHeight="1" x14ac:dyDescent="0.2">
      <c r="A161" s="122">
        <f>A160+1</f>
        <v>151</v>
      </c>
      <c r="B161" s="72" t="s">
        <v>94</v>
      </c>
      <c r="C161" s="72"/>
      <c r="D161" s="135" t="s">
        <v>698</v>
      </c>
      <c r="E161" s="79">
        <v>41640</v>
      </c>
      <c r="F161" s="165">
        <v>41640</v>
      </c>
      <c r="G161" s="104">
        <v>42735</v>
      </c>
      <c r="H161" s="101"/>
      <c r="I161" s="25">
        <f>9283243.62/1000</f>
        <v>9283.2436199999993</v>
      </c>
      <c r="J161" s="63">
        <v>6975</v>
      </c>
      <c r="K161" s="63">
        <v>6779.64</v>
      </c>
      <c r="L161" s="63">
        <v>0</v>
      </c>
      <c r="M161" s="164" t="s">
        <v>95</v>
      </c>
      <c r="N161" s="191"/>
      <c r="O161" s="191"/>
      <c r="P161" s="163" t="s">
        <v>626</v>
      </c>
      <c r="Q161" s="163" t="s">
        <v>650</v>
      </c>
      <c r="R161" s="180" t="s">
        <v>677</v>
      </c>
    </row>
    <row r="162" spans="1:47" ht="88.5" customHeight="1" x14ac:dyDescent="0.2">
      <c r="A162" s="122">
        <f t="shared" si="16"/>
        <v>152</v>
      </c>
      <c r="B162" s="71" t="s">
        <v>475</v>
      </c>
      <c r="C162" s="71"/>
      <c r="D162" s="135" t="s">
        <v>698</v>
      </c>
      <c r="E162" s="79">
        <v>41640</v>
      </c>
      <c r="F162" s="165">
        <v>41640</v>
      </c>
      <c r="G162" s="104">
        <v>42735</v>
      </c>
      <c r="H162" s="108"/>
      <c r="I162" s="24">
        <v>0</v>
      </c>
      <c r="J162" s="25">
        <v>0</v>
      </c>
      <c r="K162" s="25">
        <v>0</v>
      </c>
      <c r="L162" s="25">
        <v>0</v>
      </c>
      <c r="M162" s="166" t="s">
        <v>96</v>
      </c>
      <c r="N162" s="191"/>
      <c r="O162" s="191"/>
      <c r="P162" s="163" t="s">
        <v>626</v>
      </c>
      <c r="Q162" s="163"/>
      <c r="R162" s="180" t="s">
        <v>637</v>
      </c>
    </row>
    <row r="163" spans="1:47" ht="100.5" customHeight="1" x14ac:dyDescent="0.2">
      <c r="A163" s="122">
        <f t="shared" ref="A163:A174" si="18">A162+1</f>
        <v>153</v>
      </c>
      <c r="B163" s="139" t="s">
        <v>385</v>
      </c>
      <c r="C163" s="17"/>
      <c r="D163" s="139" t="s">
        <v>698</v>
      </c>
      <c r="E163" s="26" t="s">
        <v>8</v>
      </c>
      <c r="F163" s="26" t="s">
        <v>8</v>
      </c>
      <c r="G163" s="27">
        <v>42004</v>
      </c>
      <c r="H163" s="240"/>
      <c r="I163" s="26" t="s">
        <v>8</v>
      </c>
      <c r="J163" s="26" t="s">
        <v>8</v>
      </c>
      <c r="K163" s="26" t="s">
        <v>8</v>
      </c>
      <c r="L163" s="26" t="s">
        <v>8</v>
      </c>
      <c r="M163" s="26" t="s">
        <v>8</v>
      </c>
      <c r="N163" s="191"/>
      <c r="O163" s="191"/>
      <c r="P163" s="163"/>
      <c r="Q163" s="163"/>
      <c r="R163" s="177"/>
    </row>
    <row r="164" spans="1:47" ht="100.5" customHeight="1" x14ac:dyDescent="0.2">
      <c r="A164" s="122">
        <f t="shared" si="18"/>
        <v>154</v>
      </c>
      <c r="B164" s="139" t="s">
        <v>386</v>
      </c>
      <c r="C164" s="17"/>
      <c r="D164" s="139" t="s">
        <v>698</v>
      </c>
      <c r="E164" s="26" t="s">
        <v>8</v>
      </c>
      <c r="F164" s="26" t="s">
        <v>8</v>
      </c>
      <c r="G164" s="27">
        <v>42369</v>
      </c>
      <c r="H164" s="26"/>
      <c r="I164" s="26" t="s">
        <v>8</v>
      </c>
      <c r="J164" s="26" t="s">
        <v>8</v>
      </c>
      <c r="K164" s="26" t="s">
        <v>8</v>
      </c>
      <c r="L164" s="26" t="s">
        <v>8</v>
      </c>
      <c r="M164" s="26" t="s">
        <v>8</v>
      </c>
      <c r="N164" s="191"/>
      <c r="O164" s="191"/>
      <c r="P164" s="163"/>
      <c r="Q164" s="163"/>
      <c r="R164" s="177"/>
    </row>
    <row r="165" spans="1:47" s="14" customFormat="1" ht="104.25" customHeight="1" x14ac:dyDescent="0.2">
      <c r="A165" s="122">
        <f t="shared" si="18"/>
        <v>155</v>
      </c>
      <c r="B165" s="139" t="s">
        <v>387</v>
      </c>
      <c r="C165" s="17"/>
      <c r="D165" s="139" t="s">
        <v>698</v>
      </c>
      <c r="E165" s="26" t="s">
        <v>8</v>
      </c>
      <c r="F165" s="26" t="s">
        <v>8</v>
      </c>
      <c r="G165" s="27">
        <v>42735</v>
      </c>
      <c r="H165" s="26"/>
      <c r="I165" s="26" t="s">
        <v>8</v>
      </c>
      <c r="J165" s="26" t="s">
        <v>8</v>
      </c>
      <c r="K165" s="26" t="s">
        <v>8</v>
      </c>
      <c r="L165" s="26" t="s">
        <v>8</v>
      </c>
      <c r="M165" s="26" t="s">
        <v>8</v>
      </c>
      <c r="N165" s="191"/>
      <c r="O165" s="191"/>
      <c r="P165" s="163"/>
      <c r="Q165" s="163"/>
      <c r="R165" s="177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</row>
    <row r="166" spans="1:47" s="14" customFormat="1" ht="105" customHeight="1" x14ac:dyDescent="0.2">
      <c r="A166" s="122">
        <f t="shared" si="18"/>
        <v>156</v>
      </c>
      <c r="B166" s="70" t="s">
        <v>97</v>
      </c>
      <c r="C166" s="70"/>
      <c r="D166" s="135" t="s">
        <v>698</v>
      </c>
      <c r="E166" s="79">
        <v>41640</v>
      </c>
      <c r="F166" s="165">
        <v>41640</v>
      </c>
      <c r="G166" s="104">
        <v>42735</v>
      </c>
      <c r="H166" s="101"/>
      <c r="I166" s="23">
        <f>I167</f>
        <v>3116.0744</v>
      </c>
      <c r="J166" s="23">
        <f t="shared" ref="J166:K166" si="19">J167</f>
        <v>3116.07</v>
      </c>
      <c r="K166" s="23">
        <f t="shared" si="19"/>
        <v>0</v>
      </c>
      <c r="L166" s="23">
        <v>0</v>
      </c>
      <c r="M166" s="167" t="s">
        <v>98</v>
      </c>
      <c r="N166" s="190"/>
      <c r="O166" s="190"/>
      <c r="P166" s="163"/>
      <c r="Q166" s="163"/>
      <c r="R166" s="163" t="s">
        <v>629</v>
      </c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</row>
    <row r="167" spans="1:47" s="14" customFormat="1" ht="103.5" customHeight="1" x14ac:dyDescent="0.2">
      <c r="A167" s="122">
        <f t="shared" si="18"/>
        <v>157</v>
      </c>
      <c r="B167" s="71" t="s">
        <v>476</v>
      </c>
      <c r="C167" s="71"/>
      <c r="D167" s="135" t="s">
        <v>698</v>
      </c>
      <c r="E167" s="79">
        <v>41640</v>
      </c>
      <c r="F167" s="165">
        <v>41640</v>
      </c>
      <c r="G167" s="104">
        <v>42735</v>
      </c>
      <c r="H167" s="101"/>
      <c r="I167" s="25">
        <f>3116074.4/1000</f>
        <v>3116.0744</v>
      </c>
      <c r="J167" s="25">
        <v>3116.07</v>
      </c>
      <c r="K167" s="25">
        <v>0</v>
      </c>
      <c r="L167" s="25">
        <v>0</v>
      </c>
      <c r="M167" s="175" t="s">
        <v>261</v>
      </c>
      <c r="N167" s="191"/>
      <c r="O167" s="191"/>
      <c r="P167" s="163" t="s">
        <v>626</v>
      </c>
      <c r="Q167" s="163" t="s">
        <v>627</v>
      </c>
      <c r="R167" s="180" t="s">
        <v>651</v>
      </c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</row>
    <row r="168" spans="1:47" s="11" customFormat="1" ht="110.25" x14ac:dyDescent="0.2">
      <c r="A168" s="122">
        <f t="shared" si="18"/>
        <v>158</v>
      </c>
      <c r="B168" s="71" t="s">
        <v>99</v>
      </c>
      <c r="C168" s="71"/>
      <c r="D168" s="135" t="s">
        <v>698</v>
      </c>
      <c r="E168" s="79">
        <v>41640</v>
      </c>
      <c r="F168" s="165">
        <v>41640</v>
      </c>
      <c r="G168" s="104">
        <v>42735</v>
      </c>
      <c r="H168" s="108"/>
      <c r="I168" s="24">
        <v>0</v>
      </c>
      <c r="J168" s="25">
        <v>0</v>
      </c>
      <c r="K168" s="25">
        <v>0</v>
      </c>
      <c r="L168" s="25">
        <v>0</v>
      </c>
      <c r="M168" s="175" t="s">
        <v>100</v>
      </c>
      <c r="N168" s="191"/>
      <c r="O168" s="191"/>
      <c r="P168" s="163" t="s">
        <v>626</v>
      </c>
      <c r="Q168" s="163"/>
      <c r="R168" s="180" t="s">
        <v>651</v>
      </c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</row>
    <row r="169" spans="1:47" s="11" customFormat="1" ht="185.25" customHeight="1" x14ac:dyDescent="0.2">
      <c r="A169" s="238">
        <f t="shared" si="18"/>
        <v>159</v>
      </c>
      <c r="B169" s="139" t="s">
        <v>304</v>
      </c>
      <c r="C169" s="17" t="s">
        <v>13</v>
      </c>
      <c r="D169" s="139" t="s">
        <v>698</v>
      </c>
      <c r="E169" s="26" t="s">
        <v>8</v>
      </c>
      <c r="F169" s="26" t="s">
        <v>8</v>
      </c>
      <c r="G169" s="27">
        <v>41912</v>
      </c>
      <c r="H169" s="241" t="s">
        <v>720</v>
      </c>
      <c r="I169" s="26" t="s">
        <v>8</v>
      </c>
      <c r="J169" s="26" t="s">
        <v>8</v>
      </c>
      <c r="K169" s="26" t="s">
        <v>8</v>
      </c>
      <c r="L169" s="26" t="s">
        <v>8</v>
      </c>
      <c r="M169" s="26" t="s">
        <v>8</v>
      </c>
      <c r="N169" s="191"/>
      <c r="O169" s="191"/>
      <c r="P169" s="163"/>
      <c r="Q169" s="163"/>
      <c r="R169" s="177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</row>
    <row r="170" spans="1:47" s="11" customFormat="1" ht="78.75" x14ac:dyDescent="0.2">
      <c r="A170" s="122">
        <f t="shared" si="18"/>
        <v>160</v>
      </c>
      <c r="B170" s="132" t="s">
        <v>373</v>
      </c>
      <c r="C170" s="17" t="s">
        <v>13</v>
      </c>
      <c r="D170" s="139" t="s">
        <v>698</v>
      </c>
      <c r="E170" s="26" t="s">
        <v>8</v>
      </c>
      <c r="F170" s="26" t="s">
        <v>8</v>
      </c>
      <c r="G170" s="27">
        <v>42277</v>
      </c>
      <c r="H170" s="26"/>
      <c r="I170" s="26" t="s">
        <v>8</v>
      </c>
      <c r="J170" s="26" t="s">
        <v>8</v>
      </c>
      <c r="K170" s="26" t="s">
        <v>8</v>
      </c>
      <c r="L170" s="26" t="s">
        <v>8</v>
      </c>
      <c r="M170" s="26" t="s">
        <v>8</v>
      </c>
      <c r="N170" s="191"/>
      <c r="O170" s="191"/>
      <c r="P170" s="163"/>
      <c r="Q170" s="163"/>
      <c r="R170" s="177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</row>
    <row r="171" spans="1:47" ht="78.75" x14ac:dyDescent="0.2">
      <c r="A171" s="122">
        <f t="shared" si="18"/>
        <v>161</v>
      </c>
      <c r="B171" s="132" t="s">
        <v>372</v>
      </c>
      <c r="C171" s="17" t="s">
        <v>13</v>
      </c>
      <c r="D171" s="139" t="s">
        <v>698</v>
      </c>
      <c r="E171" s="26" t="s">
        <v>8</v>
      </c>
      <c r="F171" s="26" t="s">
        <v>8</v>
      </c>
      <c r="G171" s="27">
        <v>42643</v>
      </c>
      <c r="H171" s="26"/>
      <c r="I171" s="26" t="s">
        <v>8</v>
      </c>
      <c r="J171" s="26" t="s">
        <v>8</v>
      </c>
      <c r="K171" s="26" t="s">
        <v>8</v>
      </c>
      <c r="L171" s="26" t="s">
        <v>8</v>
      </c>
      <c r="M171" s="26" t="s">
        <v>8</v>
      </c>
      <c r="N171" s="191"/>
      <c r="O171" s="191"/>
      <c r="P171" s="163"/>
      <c r="Q171" s="163"/>
      <c r="R171" s="177"/>
    </row>
    <row r="172" spans="1:47" ht="110.25" customHeight="1" x14ac:dyDescent="0.2">
      <c r="A172" s="122">
        <f t="shared" si="18"/>
        <v>162</v>
      </c>
      <c r="B172" s="78" t="s">
        <v>101</v>
      </c>
      <c r="C172" s="78"/>
      <c r="D172" s="135" t="s">
        <v>698</v>
      </c>
      <c r="E172" s="79">
        <v>41640</v>
      </c>
      <c r="F172" s="165">
        <v>41640</v>
      </c>
      <c r="G172" s="79">
        <v>42735</v>
      </c>
      <c r="H172" s="101"/>
      <c r="I172" s="54">
        <f>I173</f>
        <v>13291.545679999999</v>
      </c>
      <c r="J172" s="54">
        <f t="shared" ref="J172:K172" si="20">J173</f>
        <v>9945</v>
      </c>
      <c r="K172" s="23">
        <f t="shared" si="20"/>
        <v>0</v>
      </c>
      <c r="L172" s="54">
        <f>L173</f>
        <v>13291.545679999999</v>
      </c>
      <c r="M172" s="171" t="s">
        <v>102</v>
      </c>
      <c r="N172" s="190"/>
      <c r="O172" s="190"/>
      <c r="P172" s="163"/>
      <c r="Q172" s="163"/>
      <c r="R172" s="163" t="s">
        <v>629</v>
      </c>
    </row>
    <row r="173" spans="1:47" s="14" customFormat="1" ht="99.75" customHeight="1" x14ac:dyDescent="0.2">
      <c r="A173" s="85">
        <f t="shared" si="18"/>
        <v>163</v>
      </c>
      <c r="B173" s="72" t="s">
        <v>477</v>
      </c>
      <c r="C173" s="72"/>
      <c r="D173" s="135" t="s">
        <v>698</v>
      </c>
      <c r="E173" s="79">
        <v>41640</v>
      </c>
      <c r="F173" s="165">
        <v>41640</v>
      </c>
      <c r="G173" s="79">
        <v>42735</v>
      </c>
      <c r="H173" s="101"/>
      <c r="I173" s="63">
        <f>13291545.68/1000</f>
        <v>13291.545679999999</v>
      </c>
      <c r="J173" s="63">
        <v>9945</v>
      </c>
      <c r="K173" s="63">
        <v>0</v>
      </c>
      <c r="L173" s="63">
        <f>13291545.68/1000</f>
        <v>13291.545679999999</v>
      </c>
      <c r="M173" s="175" t="s">
        <v>308</v>
      </c>
      <c r="N173" s="191"/>
      <c r="O173" s="191"/>
      <c r="P173" s="163" t="s">
        <v>626</v>
      </c>
      <c r="Q173" s="163" t="s">
        <v>650</v>
      </c>
      <c r="R173" s="180" t="s">
        <v>651</v>
      </c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</row>
    <row r="174" spans="1:47" s="11" customFormat="1" ht="97.5" customHeight="1" x14ac:dyDescent="0.2">
      <c r="A174" s="85">
        <f t="shared" si="18"/>
        <v>164</v>
      </c>
      <c r="B174" s="71" t="s">
        <v>103</v>
      </c>
      <c r="C174" s="71"/>
      <c r="D174" s="135" t="s">
        <v>698</v>
      </c>
      <c r="E174" s="79">
        <v>41640</v>
      </c>
      <c r="F174" s="165">
        <v>41640</v>
      </c>
      <c r="G174" s="80">
        <v>42735</v>
      </c>
      <c r="H174" s="108"/>
      <c r="I174" s="24">
        <v>0</v>
      </c>
      <c r="J174" s="25">
        <v>0</v>
      </c>
      <c r="K174" s="24">
        <v>0</v>
      </c>
      <c r="L174" s="24">
        <v>0</v>
      </c>
      <c r="M174" s="175" t="s">
        <v>104</v>
      </c>
      <c r="N174" s="191"/>
      <c r="O174" s="191"/>
      <c r="P174" s="163" t="s">
        <v>626</v>
      </c>
      <c r="Q174" s="163"/>
      <c r="R174" s="180" t="s">
        <v>651</v>
      </c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</row>
    <row r="175" spans="1:47" ht="94.5" x14ac:dyDescent="0.2">
      <c r="A175" s="238">
        <f t="shared" ref="A175:A213" si="21">A174+1</f>
        <v>165</v>
      </c>
      <c r="B175" s="139" t="s">
        <v>305</v>
      </c>
      <c r="C175" s="17" t="s">
        <v>13</v>
      </c>
      <c r="D175" s="139" t="s">
        <v>698</v>
      </c>
      <c r="E175" s="26" t="s">
        <v>8</v>
      </c>
      <c r="F175" s="26" t="s">
        <v>8</v>
      </c>
      <c r="G175" s="27">
        <v>41820</v>
      </c>
      <c r="H175" s="243" t="s">
        <v>716</v>
      </c>
      <c r="I175" s="26" t="s">
        <v>8</v>
      </c>
      <c r="J175" s="26" t="s">
        <v>8</v>
      </c>
      <c r="K175" s="26" t="s">
        <v>8</v>
      </c>
      <c r="L175" s="26" t="s">
        <v>8</v>
      </c>
      <c r="M175" s="26" t="s">
        <v>8</v>
      </c>
      <c r="N175" s="191"/>
      <c r="O175" s="191"/>
      <c r="P175" s="163"/>
      <c r="Q175" s="163"/>
      <c r="R175" s="177"/>
    </row>
    <row r="176" spans="1:47" ht="135.75" customHeight="1" x14ac:dyDescent="0.2">
      <c r="A176" s="122">
        <f t="shared" si="21"/>
        <v>166</v>
      </c>
      <c r="B176" s="81" t="s">
        <v>306</v>
      </c>
      <c r="C176" s="17" t="s">
        <v>13</v>
      </c>
      <c r="D176" s="139" t="s">
        <v>698</v>
      </c>
      <c r="E176" s="26" t="s">
        <v>8</v>
      </c>
      <c r="F176" s="26" t="s">
        <v>8</v>
      </c>
      <c r="G176" s="27">
        <v>42185</v>
      </c>
      <c r="H176" s="26"/>
      <c r="I176" s="26" t="s">
        <v>8</v>
      </c>
      <c r="J176" s="26" t="s">
        <v>8</v>
      </c>
      <c r="K176" s="26" t="s">
        <v>8</v>
      </c>
      <c r="L176" s="26" t="s">
        <v>8</v>
      </c>
      <c r="M176" s="26" t="s">
        <v>8</v>
      </c>
      <c r="N176" s="191"/>
      <c r="O176" s="191"/>
      <c r="P176" s="163"/>
      <c r="Q176" s="163"/>
      <c r="R176" s="177"/>
    </row>
    <row r="177" spans="1:47" s="14" customFormat="1" ht="78.75" x14ac:dyDescent="0.2">
      <c r="A177" s="122">
        <f t="shared" si="21"/>
        <v>167</v>
      </c>
      <c r="B177" s="81" t="s">
        <v>307</v>
      </c>
      <c r="C177" s="17" t="s">
        <v>13</v>
      </c>
      <c r="D177" s="139" t="s">
        <v>698</v>
      </c>
      <c r="E177" s="26" t="s">
        <v>8</v>
      </c>
      <c r="F177" s="26" t="s">
        <v>8</v>
      </c>
      <c r="G177" s="27">
        <v>42551</v>
      </c>
      <c r="H177" s="26"/>
      <c r="I177" s="26" t="s">
        <v>8</v>
      </c>
      <c r="J177" s="26" t="s">
        <v>8</v>
      </c>
      <c r="K177" s="26" t="s">
        <v>8</v>
      </c>
      <c r="L177" s="26" t="s">
        <v>8</v>
      </c>
      <c r="M177" s="26" t="s">
        <v>8</v>
      </c>
      <c r="N177" s="191"/>
      <c r="O177" s="191"/>
      <c r="P177" s="163"/>
      <c r="Q177" s="163"/>
      <c r="R177" s="177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</row>
    <row r="178" spans="1:47" s="14" customFormat="1" ht="133.5" customHeight="1" x14ac:dyDescent="0.2">
      <c r="A178" s="122">
        <f t="shared" si="21"/>
        <v>168</v>
      </c>
      <c r="B178" s="70" t="s">
        <v>105</v>
      </c>
      <c r="C178" s="70"/>
      <c r="D178" s="135" t="s">
        <v>698</v>
      </c>
      <c r="E178" s="79">
        <v>41640</v>
      </c>
      <c r="F178" s="165">
        <v>41640</v>
      </c>
      <c r="G178" s="104">
        <v>42735</v>
      </c>
      <c r="H178" s="101"/>
      <c r="I178" s="23">
        <f>I179+I180</f>
        <v>31843.483199999999</v>
      </c>
      <c r="J178" s="23">
        <f t="shared" ref="J178:K178" si="22">J179+J180</f>
        <v>9237.39</v>
      </c>
      <c r="K178" s="23">
        <f t="shared" si="22"/>
        <v>0</v>
      </c>
      <c r="L178" s="23">
        <v>0</v>
      </c>
      <c r="M178" s="137" t="s">
        <v>106</v>
      </c>
      <c r="N178" s="190"/>
      <c r="O178" s="190"/>
      <c r="P178" s="163"/>
      <c r="Q178" s="163"/>
      <c r="R178" s="163" t="s">
        <v>629</v>
      </c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</row>
    <row r="179" spans="1:47" s="14" customFormat="1" ht="84.75" customHeight="1" x14ac:dyDescent="0.2">
      <c r="A179" s="122">
        <f t="shared" si="21"/>
        <v>169</v>
      </c>
      <c r="B179" s="71" t="s">
        <v>478</v>
      </c>
      <c r="C179" s="71"/>
      <c r="D179" s="135" t="s">
        <v>698</v>
      </c>
      <c r="E179" s="79">
        <v>41640</v>
      </c>
      <c r="F179" s="165">
        <v>41640</v>
      </c>
      <c r="G179" s="104">
        <v>42735</v>
      </c>
      <c r="H179" s="101"/>
      <c r="I179" s="25">
        <f>24776483.2/1000</f>
        <v>24776.483199999999</v>
      </c>
      <c r="J179" s="25">
        <v>6410.59</v>
      </c>
      <c r="K179" s="25">
        <v>0</v>
      </c>
      <c r="L179" s="25">
        <v>0</v>
      </c>
      <c r="M179" s="175" t="s">
        <v>309</v>
      </c>
      <c r="N179" s="191"/>
      <c r="O179" s="191"/>
      <c r="P179" s="163" t="s">
        <v>626</v>
      </c>
      <c r="Q179" s="163" t="s">
        <v>627</v>
      </c>
      <c r="R179" s="180" t="s">
        <v>651</v>
      </c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</row>
    <row r="180" spans="1:47" s="11" customFormat="1" ht="84" customHeight="1" x14ac:dyDescent="0.2">
      <c r="A180" s="122">
        <f t="shared" si="21"/>
        <v>170</v>
      </c>
      <c r="B180" s="155" t="s">
        <v>479</v>
      </c>
      <c r="C180" s="71"/>
      <c r="D180" s="135" t="s">
        <v>698</v>
      </c>
      <c r="E180" s="79">
        <v>41640</v>
      </c>
      <c r="F180" s="165">
        <v>41699</v>
      </c>
      <c r="G180" s="104">
        <v>42735</v>
      </c>
      <c r="H180" s="101"/>
      <c r="I180" s="25">
        <f>7067000/1000</f>
        <v>7067</v>
      </c>
      <c r="J180" s="25">
        <v>2826.8</v>
      </c>
      <c r="K180" s="25">
        <v>0</v>
      </c>
      <c r="L180" s="25">
        <v>0</v>
      </c>
      <c r="M180" s="175" t="s">
        <v>310</v>
      </c>
      <c r="N180" s="191"/>
      <c r="O180" s="191"/>
      <c r="P180" s="163" t="s">
        <v>626</v>
      </c>
      <c r="Q180" s="163" t="s">
        <v>627</v>
      </c>
      <c r="R180" s="180" t="s">
        <v>651</v>
      </c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</row>
    <row r="181" spans="1:47" s="11" customFormat="1" ht="78.75" x14ac:dyDescent="0.2">
      <c r="A181" s="122">
        <f t="shared" si="21"/>
        <v>171</v>
      </c>
      <c r="B181" s="114" t="s">
        <v>311</v>
      </c>
      <c r="C181" s="17"/>
      <c r="D181" s="139" t="s">
        <v>698</v>
      </c>
      <c r="E181" s="26" t="s">
        <v>8</v>
      </c>
      <c r="F181" s="26" t="s">
        <v>8</v>
      </c>
      <c r="G181" s="27">
        <v>42004</v>
      </c>
      <c r="H181" s="26"/>
      <c r="I181" s="26" t="s">
        <v>8</v>
      </c>
      <c r="J181" s="26" t="s">
        <v>8</v>
      </c>
      <c r="K181" s="26" t="s">
        <v>8</v>
      </c>
      <c r="L181" s="26" t="s">
        <v>8</v>
      </c>
      <c r="M181" s="26" t="s">
        <v>8</v>
      </c>
      <c r="N181" s="191"/>
      <c r="O181" s="191"/>
      <c r="P181" s="163"/>
      <c r="Q181" s="163"/>
      <c r="R181" s="177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</row>
    <row r="182" spans="1:47" s="11" customFormat="1" ht="78.75" x14ac:dyDescent="0.2">
      <c r="A182" s="122">
        <f t="shared" si="21"/>
        <v>172</v>
      </c>
      <c r="B182" s="114" t="s">
        <v>312</v>
      </c>
      <c r="C182" s="17"/>
      <c r="D182" s="139" t="s">
        <v>698</v>
      </c>
      <c r="E182" s="26" t="s">
        <v>8</v>
      </c>
      <c r="F182" s="26" t="s">
        <v>8</v>
      </c>
      <c r="G182" s="27">
        <v>42369</v>
      </c>
      <c r="H182" s="26"/>
      <c r="I182" s="26" t="s">
        <v>8</v>
      </c>
      <c r="J182" s="26" t="s">
        <v>8</v>
      </c>
      <c r="K182" s="26" t="s">
        <v>8</v>
      </c>
      <c r="L182" s="26" t="s">
        <v>8</v>
      </c>
      <c r="M182" s="26" t="s">
        <v>8</v>
      </c>
      <c r="N182" s="191"/>
      <c r="O182" s="191"/>
      <c r="P182" s="163"/>
      <c r="Q182" s="163"/>
      <c r="R182" s="177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</row>
    <row r="183" spans="1:47" ht="78.75" x14ac:dyDescent="0.2">
      <c r="A183" s="122">
        <f t="shared" si="21"/>
        <v>173</v>
      </c>
      <c r="B183" s="114" t="s">
        <v>313</v>
      </c>
      <c r="C183" s="17"/>
      <c r="D183" s="139" t="s">
        <v>698</v>
      </c>
      <c r="E183" s="26" t="s">
        <v>8</v>
      </c>
      <c r="F183" s="26" t="s">
        <v>8</v>
      </c>
      <c r="G183" s="27">
        <v>42735</v>
      </c>
      <c r="H183" s="26"/>
      <c r="I183" s="26" t="s">
        <v>8</v>
      </c>
      <c r="J183" s="26" t="s">
        <v>8</v>
      </c>
      <c r="K183" s="26" t="s">
        <v>8</v>
      </c>
      <c r="L183" s="26" t="s">
        <v>8</v>
      </c>
      <c r="M183" s="26" t="s">
        <v>8</v>
      </c>
      <c r="N183" s="191"/>
      <c r="O183" s="191"/>
      <c r="P183" s="163"/>
      <c r="Q183" s="163"/>
      <c r="R183" s="177"/>
    </row>
    <row r="184" spans="1:47" ht="117" customHeight="1" x14ac:dyDescent="0.2">
      <c r="A184" s="153">
        <f t="shared" si="21"/>
        <v>174</v>
      </c>
      <c r="B184" s="52" t="s">
        <v>488</v>
      </c>
      <c r="C184" s="52"/>
      <c r="D184" s="135" t="s">
        <v>698</v>
      </c>
      <c r="E184" s="149">
        <v>41640</v>
      </c>
      <c r="F184" s="172">
        <v>41640</v>
      </c>
      <c r="G184" s="149">
        <v>42735</v>
      </c>
      <c r="H184" s="146"/>
      <c r="I184" s="23">
        <f>SUM(I185:I186)</f>
        <v>0</v>
      </c>
      <c r="J184" s="23">
        <v>0</v>
      </c>
      <c r="K184" s="23">
        <f>SUM(K185:K186)</f>
        <v>0</v>
      </c>
      <c r="L184" s="23">
        <f>SUM(L185:L186)</f>
        <v>0</v>
      </c>
      <c r="M184" s="137" t="s">
        <v>492</v>
      </c>
      <c r="N184" s="190"/>
      <c r="O184" s="190"/>
      <c r="P184" s="163"/>
      <c r="Q184" s="163"/>
      <c r="R184" s="163" t="s">
        <v>636</v>
      </c>
    </row>
    <row r="185" spans="1:47" ht="194.25" customHeight="1" x14ac:dyDescent="0.2">
      <c r="A185" s="153">
        <f t="shared" si="21"/>
        <v>175</v>
      </c>
      <c r="B185" s="150" t="s">
        <v>489</v>
      </c>
      <c r="C185" s="150"/>
      <c r="D185" s="135" t="s">
        <v>698</v>
      </c>
      <c r="E185" s="151">
        <v>41640</v>
      </c>
      <c r="F185" s="165">
        <v>41640</v>
      </c>
      <c r="G185" s="151">
        <v>42735</v>
      </c>
      <c r="H185" s="146"/>
      <c r="I185" s="63">
        <v>0</v>
      </c>
      <c r="J185" s="59">
        <v>0</v>
      </c>
      <c r="K185" s="63">
        <v>0</v>
      </c>
      <c r="L185" s="63">
        <v>0</v>
      </c>
      <c r="M185" s="175" t="s">
        <v>613</v>
      </c>
      <c r="N185" s="191"/>
      <c r="O185" s="191"/>
      <c r="P185" s="163" t="s">
        <v>626</v>
      </c>
      <c r="Q185" s="163"/>
      <c r="R185" s="177"/>
    </row>
    <row r="186" spans="1:47" ht="114" customHeight="1" x14ac:dyDescent="0.2">
      <c r="A186" s="153">
        <f t="shared" si="21"/>
        <v>176</v>
      </c>
      <c r="B186" s="155" t="s">
        <v>614</v>
      </c>
      <c r="C186" s="148"/>
      <c r="D186" s="135" t="s">
        <v>698</v>
      </c>
      <c r="E186" s="151">
        <v>41640</v>
      </c>
      <c r="F186" s="165">
        <v>41640</v>
      </c>
      <c r="G186" s="80">
        <v>42735</v>
      </c>
      <c r="H186" s="146"/>
      <c r="I186" s="37">
        <v>0</v>
      </c>
      <c r="J186" s="24">
        <v>0</v>
      </c>
      <c r="K186" s="24">
        <v>0</v>
      </c>
      <c r="L186" s="24">
        <v>0</v>
      </c>
      <c r="M186" s="166" t="s">
        <v>498</v>
      </c>
      <c r="N186" s="191"/>
      <c r="O186" s="191"/>
      <c r="P186" s="163" t="s">
        <v>626</v>
      </c>
      <c r="Q186" s="163"/>
      <c r="R186" s="177"/>
    </row>
    <row r="187" spans="1:47" ht="216.75" customHeight="1" x14ac:dyDescent="0.2">
      <c r="A187" s="153">
        <f t="shared" si="21"/>
        <v>177</v>
      </c>
      <c r="B187" s="139" t="s">
        <v>499</v>
      </c>
      <c r="C187" s="17"/>
      <c r="D187" s="139" t="s">
        <v>698</v>
      </c>
      <c r="E187" s="26" t="s">
        <v>8</v>
      </c>
      <c r="F187" s="26" t="s">
        <v>8</v>
      </c>
      <c r="G187" s="27">
        <v>42004</v>
      </c>
      <c r="H187" s="26"/>
      <c r="I187" s="26" t="s">
        <v>8</v>
      </c>
      <c r="J187" s="26" t="s">
        <v>8</v>
      </c>
      <c r="K187" s="26" t="s">
        <v>8</v>
      </c>
      <c r="L187" s="26" t="s">
        <v>8</v>
      </c>
      <c r="M187" s="26" t="s">
        <v>8</v>
      </c>
      <c r="N187" s="191"/>
      <c r="O187" s="191"/>
      <c r="P187" s="163"/>
      <c r="Q187" s="163"/>
      <c r="R187" s="177"/>
    </row>
    <row r="188" spans="1:47" ht="219.75" customHeight="1" x14ac:dyDescent="0.2">
      <c r="A188" s="153">
        <f t="shared" si="21"/>
        <v>178</v>
      </c>
      <c r="B188" s="139" t="s">
        <v>500</v>
      </c>
      <c r="C188" s="17"/>
      <c r="D188" s="139" t="s">
        <v>698</v>
      </c>
      <c r="E188" s="26" t="s">
        <v>8</v>
      </c>
      <c r="F188" s="26" t="s">
        <v>8</v>
      </c>
      <c r="G188" s="27">
        <v>42369</v>
      </c>
      <c r="H188" s="26"/>
      <c r="I188" s="26" t="s">
        <v>8</v>
      </c>
      <c r="J188" s="26" t="s">
        <v>8</v>
      </c>
      <c r="K188" s="26" t="s">
        <v>8</v>
      </c>
      <c r="L188" s="26" t="s">
        <v>8</v>
      </c>
      <c r="M188" s="26" t="s">
        <v>8</v>
      </c>
      <c r="N188" s="191"/>
      <c r="O188" s="191"/>
      <c r="P188" s="163"/>
      <c r="Q188" s="163"/>
      <c r="R188" s="177"/>
    </row>
    <row r="189" spans="1:47" ht="226.5" customHeight="1" x14ac:dyDescent="0.2">
      <c r="A189" s="153">
        <f t="shared" si="21"/>
        <v>179</v>
      </c>
      <c r="B189" s="139" t="s">
        <v>501</v>
      </c>
      <c r="C189" s="17"/>
      <c r="D189" s="139" t="s">
        <v>698</v>
      </c>
      <c r="E189" s="26" t="s">
        <v>8</v>
      </c>
      <c r="F189" s="26" t="s">
        <v>8</v>
      </c>
      <c r="G189" s="27">
        <v>42735</v>
      </c>
      <c r="H189" s="26"/>
      <c r="I189" s="26" t="s">
        <v>8</v>
      </c>
      <c r="J189" s="26" t="s">
        <v>8</v>
      </c>
      <c r="K189" s="26" t="s">
        <v>8</v>
      </c>
      <c r="L189" s="26" t="s">
        <v>8</v>
      </c>
      <c r="M189" s="26" t="s">
        <v>8</v>
      </c>
      <c r="N189" s="191"/>
      <c r="O189" s="191"/>
      <c r="P189" s="163"/>
      <c r="Q189" s="163"/>
      <c r="R189" s="177"/>
    </row>
    <row r="190" spans="1:47" s="11" customFormat="1" ht="102" customHeight="1" x14ac:dyDescent="0.2">
      <c r="A190" s="145">
        <f t="shared" si="21"/>
        <v>180</v>
      </c>
      <c r="B190" s="78" t="s">
        <v>107</v>
      </c>
      <c r="C190" s="78"/>
      <c r="D190" s="135" t="s">
        <v>698</v>
      </c>
      <c r="E190" s="79">
        <v>41640</v>
      </c>
      <c r="F190" s="165">
        <v>41640</v>
      </c>
      <c r="G190" s="79">
        <v>42735</v>
      </c>
      <c r="H190" s="101"/>
      <c r="I190" s="54">
        <f>SUM(I191:I192)</f>
        <v>14020.95</v>
      </c>
      <c r="J190" s="54">
        <f t="shared" ref="J190:K190" si="23">SUM(J191:J192)</f>
        <v>10060.950000000001</v>
      </c>
      <c r="K190" s="54">
        <f t="shared" si="23"/>
        <v>0</v>
      </c>
      <c r="L190" s="54">
        <f>SUM(L191:L192)</f>
        <v>16936.275000000001</v>
      </c>
      <c r="M190" s="171" t="s">
        <v>108</v>
      </c>
      <c r="N190" s="190"/>
      <c r="O190" s="190"/>
      <c r="P190" s="163"/>
      <c r="Q190" s="163"/>
      <c r="R190" s="163" t="s">
        <v>629</v>
      </c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</row>
    <row r="191" spans="1:47" s="11" customFormat="1" ht="101.25" customHeight="1" x14ac:dyDescent="0.2">
      <c r="A191" s="122">
        <f t="shared" si="21"/>
        <v>181</v>
      </c>
      <c r="B191" s="72" t="s">
        <v>247</v>
      </c>
      <c r="C191" s="72"/>
      <c r="D191" s="135" t="s">
        <v>698</v>
      </c>
      <c r="E191" s="79">
        <v>41640</v>
      </c>
      <c r="F191" s="165">
        <v>41640</v>
      </c>
      <c r="G191" s="79">
        <v>42735</v>
      </c>
      <c r="H191" s="101"/>
      <c r="I191" s="63">
        <f>14020950/1000</f>
        <v>14020.95</v>
      </c>
      <c r="J191" s="63">
        <v>10060.950000000001</v>
      </c>
      <c r="K191" s="63">
        <v>0</v>
      </c>
      <c r="L191" s="63">
        <f>16936275/1000</f>
        <v>16936.275000000001</v>
      </c>
      <c r="M191" s="175" t="s">
        <v>314</v>
      </c>
      <c r="N191" s="191"/>
      <c r="O191" s="191"/>
      <c r="P191" s="163" t="s">
        <v>633</v>
      </c>
      <c r="Q191" s="163" t="s">
        <v>650</v>
      </c>
      <c r="R191" s="181" t="s">
        <v>635</v>
      </c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</row>
    <row r="192" spans="1:47" ht="116.25" customHeight="1" x14ac:dyDescent="0.2">
      <c r="A192" s="122">
        <f t="shared" si="21"/>
        <v>182</v>
      </c>
      <c r="B192" s="71" t="s">
        <v>480</v>
      </c>
      <c r="C192" s="71"/>
      <c r="D192" s="135" t="s">
        <v>698</v>
      </c>
      <c r="E192" s="79">
        <v>41640</v>
      </c>
      <c r="F192" s="165">
        <v>41640</v>
      </c>
      <c r="G192" s="80">
        <v>42735</v>
      </c>
      <c r="H192" s="53"/>
      <c r="I192" s="37">
        <v>0</v>
      </c>
      <c r="J192" s="24">
        <v>0</v>
      </c>
      <c r="K192" s="24">
        <v>0</v>
      </c>
      <c r="L192" s="24">
        <v>0</v>
      </c>
      <c r="M192" s="175" t="s">
        <v>109</v>
      </c>
      <c r="N192" s="191"/>
      <c r="O192" s="191"/>
      <c r="P192" s="163" t="s">
        <v>633</v>
      </c>
      <c r="Q192" s="163"/>
      <c r="R192" s="177"/>
    </row>
    <row r="193" spans="1:47" ht="109.5" customHeight="1" x14ac:dyDescent="0.2">
      <c r="A193" s="122">
        <f t="shared" si="21"/>
        <v>183</v>
      </c>
      <c r="B193" s="120" t="s">
        <v>502</v>
      </c>
      <c r="C193" s="17"/>
      <c r="D193" s="139" t="s">
        <v>698</v>
      </c>
      <c r="E193" s="26" t="s">
        <v>8</v>
      </c>
      <c r="F193" s="26" t="s">
        <v>8</v>
      </c>
      <c r="G193" s="27">
        <v>42004</v>
      </c>
      <c r="H193" s="26"/>
      <c r="I193" s="26" t="s">
        <v>8</v>
      </c>
      <c r="J193" s="26" t="s">
        <v>8</v>
      </c>
      <c r="K193" s="26" t="s">
        <v>8</v>
      </c>
      <c r="L193" s="26" t="s">
        <v>8</v>
      </c>
      <c r="M193" s="26" t="s">
        <v>8</v>
      </c>
      <c r="N193" s="191"/>
      <c r="O193" s="191"/>
      <c r="P193" s="163"/>
      <c r="Q193" s="163"/>
      <c r="R193" s="177"/>
    </row>
    <row r="194" spans="1:47" s="38" customFormat="1" ht="78.75" x14ac:dyDescent="0.2">
      <c r="A194" s="122">
        <f t="shared" si="21"/>
        <v>184</v>
      </c>
      <c r="B194" s="114" t="s">
        <v>503</v>
      </c>
      <c r="C194" s="17"/>
      <c r="D194" s="139" t="s">
        <v>698</v>
      </c>
      <c r="E194" s="26" t="s">
        <v>8</v>
      </c>
      <c r="F194" s="26" t="s">
        <v>8</v>
      </c>
      <c r="G194" s="27">
        <v>42369</v>
      </c>
      <c r="H194" s="26"/>
      <c r="I194" s="26" t="s">
        <v>8</v>
      </c>
      <c r="J194" s="26" t="s">
        <v>8</v>
      </c>
      <c r="K194" s="26" t="s">
        <v>8</v>
      </c>
      <c r="L194" s="26" t="s">
        <v>8</v>
      </c>
      <c r="M194" s="26" t="s">
        <v>8</v>
      </c>
      <c r="N194" s="191"/>
      <c r="O194" s="191"/>
      <c r="P194" s="163"/>
      <c r="Q194" s="163"/>
      <c r="R194" s="177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</row>
    <row r="195" spans="1:47" s="38" customFormat="1" ht="102.75" customHeight="1" x14ac:dyDescent="0.2">
      <c r="A195" s="122">
        <f t="shared" si="21"/>
        <v>185</v>
      </c>
      <c r="B195" s="114" t="s">
        <v>504</v>
      </c>
      <c r="C195" s="17"/>
      <c r="D195" s="139" t="s">
        <v>698</v>
      </c>
      <c r="E195" s="26" t="s">
        <v>8</v>
      </c>
      <c r="F195" s="26" t="s">
        <v>8</v>
      </c>
      <c r="G195" s="27">
        <v>42735</v>
      </c>
      <c r="H195" s="26"/>
      <c r="I195" s="26" t="s">
        <v>8</v>
      </c>
      <c r="J195" s="26" t="s">
        <v>8</v>
      </c>
      <c r="K195" s="26" t="s">
        <v>8</v>
      </c>
      <c r="L195" s="26" t="s">
        <v>8</v>
      </c>
      <c r="M195" s="26" t="s">
        <v>8</v>
      </c>
      <c r="N195" s="191"/>
      <c r="O195" s="191"/>
      <c r="P195" s="163"/>
      <c r="Q195" s="163"/>
      <c r="R195" s="177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</row>
    <row r="196" spans="1:47" s="38" customFormat="1" ht="105" customHeight="1" x14ac:dyDescent="0.2">
      <c r="A196" s="122">
        <f t="shared" si="21"/>
        <v>186</v>
      </c>
      <c r="B196" s="70" t="s">
        <v>110</v>
      </c>
      <c r="C196" s="70"/>
      <c r="D196" s="135" t="s">
        <v>698</v>
      </c>
      <c r="E196" s="79">
        <v>41640</v>
      </c>
      <c r="F196" s="165">
        <v>41640</v>
      </c>
      <c r="G196" s="104">
        <v>42735</v>
      </c>
      <c r="H196" s="101"/>
      <c r="I196" s="23">
        <f>I197</f>
        <v>31342.615379999999</v>
      </c>
      <c r="J196" s="23">
        <f t="shared" ref="J196:K196" si="24">J197</f>
        <v>12537.05</v>
      </c>
      <c r="K196" s="23">
        <f t="shared" si="24"/>
        <v>1916.1</v>
      </c>
      <c r="L196" s="23">
        <v>0</v>
      </c>
      <c r="M196" s="167" t="s">
        <v>108</v>
      </c>
      <c r="N196" s="190"/>
      <c r="O196" s="190"/>
      <c r="P196" s="163"/>
      <c r="Q196" s="163"/>
      <c r="R196" s="163" t="s">
        <v>629</v>
      </c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</row>
    <row r="197" spans="1:47" s="14" customFormat="1" ht="127.5" customHeight="1" x14ac:dyDescent="0.2">
      <c r="A197" s="122">
        <f t="shared" si="21"/>
        <v>187</v>
      </c>
      <c r="B197" s="71" t="s">
        <v>481</v>
      </c>
      <c r="C197" s="71"/>
      <c r="D197" s="135" t="s">
        <v>698</v>
      </c>
      <c r="E197" s="79">
        <v>41640</v>
      </c>
      <c r="F197" s="165">
        <v>41640</v>
      </c>
      <c r="G197" s="104">
        <v>42735</v>
      </c>
      <c r="H197" s="101"/>
      <c r="I197" s="25">
        <f>31342615.38/1000</f>
        <v>31342.615379999999</v>
      </c>
      <c r="J197" s="25">
        <v>12537.05</v>
      </c>
      <c r="K197" s="25">
        <v>1916.1</v>
      </c>
      <c r="L197" s="25">
        <v>0</v>
      </c>
      <c r="M197" s="166" t="s">
        <v>111</v>
      </c>
      <c r="N197" s="191"/>
      <c r="O197" s="191"/>
      <c r="P197" s="163" t="s">
        <v>626</v>
      </c>
      <c r="Q197" s="163" t="s">
        <v>627</v>
      </c>
      <c r="R197" s="180" t="s">
        <v>652</v>
      </c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</row>
    <row r="198" spans="1:47" s="14" customFormat="1" ht="110.25" x14ac:dyDescent="0.2">
      <c r="A198" s="122">
        <f t="shared" si="21"/>
        <v>188</v>
      </c>
      <c r="B198" s="71" t="s">
        <v>112</v>
      </c>
      <c r="C198" s="71"/>
      <c r="D198" s="135" t="s">
        <v>698</v>
      </c>
      <c r="E198" s="79">
        <v>41640</v>
      </c>
      <c r="F198" s="165">
        <v>41640</v>
      </c>
      <c r="G198" s="104">
        <v>42735</v>
      </c>
      <c r="H198" s="53"/>
      <c r="I198" s="24">
        <v>0</v>
      </c>
      <c r="J198" s="25">
        <v>0</v>
      </c>
      <c r="K198" s="25">
        <v>0</v>
      </c>
      <c r="L198" s="25">
        <v>0</v>
      </c>
      <c r="M198" s="175" t="s">
        <v>113</v>
      </c>
      <c r="N198" s="191"/>
      <c r="O198" s="191"/>
      <c r="P198" s="163" t="s">
        <v>626</v>
      </c>
      <c r="Q198" s="163"/>
      <c r="R198" s="180" t="s">
        <v>652</v>
      </c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</row>
    <row r="199" spans="1:47" s="14" customFormat="1" ht="78.75" x14ac:dyDescent="0.2">
      <c r="A199" s="122">
        <f t="shared" si="21"/>
        <v>189</v>
      </c>
      <c r="B199" s="114" t="s">
        <v>505</v>
      </c>
      <c r="C199" s="17"/>
      <c r="D199" s="139" t="s">
        <v>698</v>
      </c>
      <c r="E199" s="26" t="s">
        <v>8</v>
      </c>
      <c r="F199" s="26" t="s">
        <v>8</v>
      </c>
      <c r="G199" s="27">
        <v>42004</v>
      </c>
      <c r="H199" s="26"/>
      <c r="I199" s="26" t="s">
        <v>8</v>
      </c>
      <c r="J199" s="26" t="s">
        <v>8</v>
      </c>
      <c r="K199" s="26" t="s">
        <v>8</v>
      </c>
      <c r="L199" s="26" t="s">
        <v>8</v>
      </c>
      <c r="M199" s="26" t="s">
        <v>8</v>
      </c>
      <c r="N199" s="191"/>
      <c r="O199" s="191"/>
      <c r="P199" s="163"/>
      <c r="Q199" s="163"/>
      <c r="R199" s="177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</row>
    <row r="200" spans="1:47" s="11" customFormat="1" ht="78.75" x14ac:dyDescent="0.2">
      <c r="A200" s="122">
        <f t="shared" si="21"/>
        <v>190</v>
      </c>
      <c r="B200" s="114" t="s">
        <v>506</v>
      </c>
      <c r="C200" s="17"/>
      <c r="D200" s="139" t="s">
        <v>698</v>
      </c>
      <c r="E200" s="26" t="s">
        <v>8</v>
      </c>
      <c r="F200" s="26" t="s">
        <v>8</v>
      </c>
      <c r="G200" s="27">
        <v>42369</v>
      </c>
      <c r="H200" s="26"/>
      <c r="I200" s="26" t="s">
        <v>8</v>
      </c>
      <c r="J200" s="26" t="s">
        <v>8</v>
      </c>
      <c r="K200" s="26" t="s">
        <v>8</v>
      </c>
      <c r="L200" s="26" t="s">
        <v>8</v>
      </c>
      <c r="M200" s="26" t="s">
        <v>8</v>
      </c>
      <c r="N200" s="191"/>
      <c r="O200" s="191"/>
      <c r="P200" s="163"/>
      <c r="Q200" s="163"/>
      <c r="R200" s="177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</row>
    <row r="201" spans="1:47" ht="104.25" customHeight="1" x14ac:dyDescent="0.2">
      <c r="A201" s="122">
        <f t="shared" si="21"/>
        <v>191</v>
      </c>
      <c r="B201" s="114" t="s">
        <v>507</v>
      </c>
      <c r="C201" s="17"/>
      <c r="D201" s="139" t="s">
        <v>698</v>
      </c>
      <c r="E201" s="26" t="s">
        <v>8</v>
      </c>
      <c r="F201" s="26" t="s">
        <v>8</v>
      </c>
      <c r="G201" s="27">
        <v>42735</v>
      </c>
      <c r="H201" s="26"/>
      <c r="I201" s="26" t="s">
        <v>8</v>
      </c>
      <c r="J201" s="26" t="s">
        <v>8</v>
      </c>
      <c r="K201" s="26" t="s">
        <v>8</v>
      </c>
      <c r="L201" s="26" t="s">
        <v>8</v>
      </c>
      <c r="M201" s="26" t="s">
        <v>8</v>
      </c>
      <c r="N201" s="191"/>
      <c r="O201" s="191"/>
      <c r="P201" s="163"/>
      <c r="Q201" s="163"/>
      <c r="R201" s="177"/>
    </row>
    <row r="202" spans="1:47" ht="102.75" customHeight="1" x14ac:dyDescent="0.2">
      <c r="A202" s="122">
        <f t="shared" si="21"/>
        <v>192</v>
      </c>
      <c r="B202" s="78" t="s">
        <v>114</v>
      </c>
      <c r="C202" s="78"/>
      <c r="D202" s="135" t="s">
        <v>698</v>
      </c>
      <c r="E202" s="79">
        <v>41640</v>
      </c>
      <c r="F202" s="165">
        <v>41640</v>
      </c>
      <c r="G202" s="79">
        <v>42735</v>
      </c>
      <c r="H202" s="101"/>
      <c r="I202" s="54">
        <f>I203</f>
        <v>5723.3083200000001</v>
      </c>
      <c r="J202" s="54">
        <f t="shared" ref="J202:K202" si="25">J203</f>
        <v>4320</v>
      </c>
      <c r="K202" s="54">
        <f t="shared" si="25"/>
        <v>0</v>
      </c>
      <c r="L202" s="54">
        <f>L203</f>
        <v>5723.3083200000001</v>
      </c>
      <c r="M202" s="171" t="s">
        <v>108</v>
      </c>
      <c r="N202" s="190"/>
      <c r="O202" s="190"/>
      <c r="P202" s="163"/>
      <c r="Q202" s="163"/>
      <c r="R202" s="163" t="s">
        <v>629</v>
      </c>
    </row>
    <row r="203" spans="1:47" s="14" customFormat="1" ht="103.5" customHeight="1" x14ac:dyDescent="0.2">
      <c r="A203" s="122">
        <f t="shared" si="21"/>
        <v>193</v>
      </c>
      <c r="B203" s="72" t="s">
        <v>115</v>
      </c>
      <c r="C203" s="72"/>
      <c r="D203" s="135" t="s">
        <v>698</v>
      </c>
      <c r="E203" s="79">
        <v>41640</v>
      </c>
      <c r="F203" s="165">
        <v>41640</v>
      </c>
      <c r="G203" s="79">
        <v>42735</v>
      </c>
      <c r="H203" s="101"/>
      <c r="I203" s="63">
        <f>5723308.32/1000</f>
        <v>5723.3083200000001</v>
      </c>
      <c r="J203" s="63">
        <v>4320</v>
      </c>
      <c r="K203" s="63">
        <v>0</v>
      </c>
      <c r="L203" s="63">
        <f>5723308.32/1000</f>
        <v>5723.3083200000001</v>
      </c>
      <c r="M203" s="175" t="s">
        <v>317</v>
      </c>
      <c r="N203" s="191"/>
      <c r="O203" s="191"/>
      <c r="P203" s="163" t="s">
        <v>633</v>
      </c>
      <c r="Q203" s="163" t="s">
        <v>650</v>
      </c>
      <c r="R203" s="180" t="s">
        <v>653</v>
      </c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</row>
    <row r="204" spans="1:47" s="14" customFormat="1" ht="78.75" x14ac:dyDescent="0.2">
      <c r="A204" s="122">
        <f t="shared" si="21"/>
        <v>194</v>
      </c>
      <c r="B204" s="71" t="s">
        <v>482</v>
      </c>
      <c r="C204" s="71"/>
      <c r="D204" s="135" t="s">
        <v>698</v>
      </c>
      <c r="E204" s="79">
        <v>41640</v>
      </c>
      <c r="F204" s="165">
        <v>41640</v>
      </c>
      <c r="G204" s="80">
        <v>42735</v>
      </c>
      <c r="H204" s="53"/>
      <c r="I204" s="24">
        <v>0</v>
      </c>
      <c r="J204" s="24">
        <v>0</v>
      </c>
      <c r="K204" s="24">
        <v>0</v>
      </c>
      <c r="L204" s="24">
        <v>0</v>
      </c>
      <c r="M204" s="166" t="s">
        <v>116</v>
      </c>
      <c r="N204" s="191"/>
      <c r="O204" s="191"/>
      <c r="P204" s="163" t="s">
        <v>633</v>
      </c>
      <c r="Q204" s="163"/>
      <c r="R204" s="177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</row>
    <row r="205" spans="1:47" s="14" customFormat="1" ht="78.75" x14ac:dyDescent="0.2">
      <c r="A205" s="122">
        <f t="shared" si="21"/>
        <v>195</v>
      </c>
      <c r="B205" s="81" t="s">
        <v>508</v>
      </c>
      <c r="C205" s="17"/>
      <c r="D205" s="139" t="s">
        <v>698</v>
      </c>
      <c r="E205" s="26" t="s">
        <v>8</v>
      </c>
      <c r="F205" s="26" t="s">
        <v>8</v>
      </c>
      <c r="G205" s="27">
        <v>42004</v>
      </c>
      <c r="H205" s="26"/>
      <c r="I205" s="26" t="s">
        <v>8</v>
      </c>
      <c r="J205" s="26" t="s">
        <v>8</v>
      </c>
      <c r="K205" s="26" t="s">
        <v>8</v>
      </c>
      <c r="L205" s="26" t="s">
        <v>8</v>
      </c>
      <c r="M205" s="26" t="s">
        <v>8</v>
      </c>
      <c r="N205" s="191"/>
      <c r="O205" s="191"/>
      <c r="P205" s="163"/>
      <c r="Q205" s="163"/>
      <c r="R205" s="177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</row>
    <row r="206" spans="1:47" s="11" customFormat="1" ht="78.75" x14ac:dyDescent="0.2">
      <c r="A206" s="122">
        <f t="shared" si="21"/>
        <v>196</v>
      </c>
      <c r="B206" s="81" t="s">
        <v>509</v>
      </c>
      <c r="C206" s="17"/>
      <c r="D206" s="139" t="s">
        <v>698</v>
      </c>
      <c r="E206" s="26" t="s">
        <v>8</v>
      </c>
      <c r="F206" s="26" t="s">
        <v>8</v>
      </c>
      <c r="G206" s="27">
        <v>42369</v>
      </c>
      <c r="H206" s="26"/>
      <c r="I206" s="26" t="s">
        <v>8</v>
      </c>
      <c r="J206" s="26" t="s">
        <v>8</v>
      </c>
      <c r="K206" s="26" t="s">
        <v>8</v>
      </c>
      <c r="L206" s="26" t="s">
        <v>8</v>
      </c>
      <c r="M206" s="26" t="s">
        <v>8</v>
      </c>
      <c r="N206" s="191"/>
      <c r="O206" s="191"/>
      <c r="P206" s="163"/>
      <c r="Q206" s="163"/>
      <c r="R206" s="177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</row>
    <row r="207" spans="1:47" ht="101.25" customHeight="1" x14ac:dyDescent="0.2">
      <c r="A207" s="122">
        <f t="shared" si="21"/>
        <v>197</v>
      </c>
      <c r="B207" s="81" t="s">
        <v>510</v>
      </c>
      <c r="C207" s="17"/>
      <c r="D207" s="139" t="s">
        <v>698</v>
      </c>
      <c r="E207" s="26" t="s">
        <v>8</v>
      </c>
      <c r="F207" s="26" t="s">
        <v>8</v>
      </c>
      <c r="G207" s="27">
        <v>42735</v>
      </c>
      <c r="H207" s="26"/>
      <c r="I207" s="26" t="s">
        <v>8</v>
      </c>
      <c r="J207" s="26" t="s">
        <v>8</v>
      </c>
      <c r="K207" s="26" t="s">
        <v>8</v>
      </c>
      <c r="L207" s="26" t="s">
        <v>8</v>
      </c>
      <c r="M207" s="26" t="s">
        <v>8</v>
      </c>
      <c r="N207" s="191"/>
      <c r="O207" s="191"/>
      <c r="P207" s="163"/>
      <c r="Q207" s="163"/>
      <c r="R207" s="177"/>
    </row>
    <row r="208" spans="1:47" ht="99" customHeight="1" x14ac:dyDescent="0.2">
      <c r="A208" s="122">
        <f t="shared" si="21"/>
        <v>198</v>
      </c>
      <c r="B208" s="70" t="s">
        <v>117</v>
      </c>
      <c r="C208" s="70"/>
      <c r="D208" s="135" t="s">
        <v>698</v>
      </c>
      <c r="E208" s="79">
        <v>41640</v>
      </c>
      <c r="F208" s="165">
        <v>41640</v>
      </c>
      <c r="G208" s="104">
        <v>42735</v>
      </c>
      <c r="H208" s="101"/>
      <c r="I208" s="23">
        <f>I209</f>
        <v>6492.8729999999996</v>
      </c>
      <c r="J208" s="23">
        <f t="shared" ref="J208:K208" si="26">J209</f>
        <v>6492.87</v>
      </c>
      <c r="K208" s="23">
        <f t="shared" si="26"/>
        <v>1526.75</v>
      </c>
      <c r="L208" s="23">
        <v>0</v>
      </c>
      <c r="M208" s="167" t="s">
        <v>118</v>
      </c>
      <c r="N208" s="190"/>
      <c r="O208" s="190"/>
      <c r="P208" s="163"/>
      <c r="Q208" s="163"/>
      <c r="R208" s="163" t="s">
        <v>643</v>
      </c>
    </row>
    <row r="209" spans="1:47" s="14" customFormat="1" ht="78.75" x14ac:dyDescent="0.2">
      <c r="A209" s="122">
        <f t="shared" si="21"/>
        <v>199</v>
      </c>
      <c r="B209" s="71" t="s">
        <v>483</v>
      </c>
      <c r="C209" s="71"/>
      <c r="D209" s="135" t="s">
        <v>698</v>
      </c>
      <c r="E209" s="79">
        <v>41640</v>
      </c>
      <c r="F209" s="165">
        <v>41640</v>
      </c>
      <c r="G209" s="104">
        <v>42735</v>
      </c>
      <c r="H209" s="101"/>
      <c r="I209" s="25">
        <f>6492873/1000</f>
        <v>6492.8729999999996</v>
      </c>
      <c r="J209" s="25">
        <v>6492.87</v>
      </c>
      <c r="K209" s="25">
        <v>1526.75</v>
      </c>
      <c r="L209" s="25">
        <v>0</v>
      </c>
      <c r="M209" s="166" t="s">
        <v>119</v>
      </c>
      <c r="N209" s="191"/>
      <c r="O209" s="191"/>
      <c r="P209" s="163" t="s">
        <v>626</v>
      </c>
      <c r="Q209" s="163" t="s">
        <v>627</v>
      </c>
      <c r="R209" s="180" t="s">
        <v>654</v>
      </c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</row>
    <row r="210" spans="1:47" s="14" customFormat="1" ht="103.5" customHeight="1" x14ac:dyDescent="0.2">
      <c r="A210" s="122">
        <f t="shared" si="21"/>
        <v>200</v>
      </c>
      <c r="B210" s="71" t="s">
        <v>120</v>
      </c>
      <c r="C210" s="71"/>
      <c r="D210" s="73" t="s">
        <v>698</v>
      </c>
      <c r="E210" s="79">
        <v>41640</v>
      </c>
      <c r="F210" s="165">
        <v>41640</v>
      </c>
      <c r="G210" s="104">
        <v>42735</v>
      </c>
      <c r="H210" s="108"/>
      <c r="I210" s="24">
        <v>0</v>
      </c>
      <c r="J210" s="25">
        <v>0</v>
      </c>
      <c r="K210" s="25">
        <v>0</v>
      </c>
      <c r="L210" s="25">
        <v>0</v>
      </c>
      <c r="M210" s="166" t="s">
        <v>121</v>
      </c>
      <c r="N210" s="191"/>
      <c r="O210" s="191"/>
      <c r="P210" s="163" t="s">
        <v>626</v>
      </c>
      <c r="Q210" s="163"/>
      <c r="R210" s="180" t="s">
        <v>637</v>
      </c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</row>
    <row r="211" spans="1:47" s="14" customFormat="1" ht="102" customHeight="1" x14ac:dyDescent="0.2">
      <c r="A211" s="122">
        <f t="shared" si="21"/>
        <v>201</v>
      </c>
      <c r="B211" s="112" t="s">
        <v>511</v>
      </c>
      <c r="C211" s="17" t="s">
        <v>13</v>
      </c>
      <c r="D211" s="139" t="s">
        <v>698</v>
      </c>
      <c r="E211" s="26" t="s">
        <v>8</v>
      </c>
      <c r="F211" s="26" t="s">
        <v>8</v>
      </c>
      <c r="G211" s="27">
        <v>42004</v>
      </c>
      <c r="H211" s="26"/>
      <c r="I211" s="26" t="s">
        <v>8</v>
      </c>
      <c r="J211" s="26" t="s">
        <v>8</v>
      </c>
      <c r="K211" s="26" t="s">
        <v>8</v>
      </c>
      <c r="L211" s="26" t="s">
        <v>8</v>
      </c>
      <c r="M211" s="26" t="s">
        <v>8</v>
      </c>
      <c r="N211" s="191"/>
      <c r="O211" s="191"/>
      <c r="P211" s="163"/>
      <c r="Q211" s="163"/>
      <c r="R211" s="177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</row>
    <row r="212" spans="1:47" s="14" customFormat="1" ht="99.75" customHeight="1" x14ac:dyDescent="0.2">
      <c r="A212" s="122">
        <f t="shared" si="21"/>
        <v>202</v>
      </c>
      <c r="B212" s="139" t="s">
        <v>512</v>
      </c>
      <c r="C212" s="17"/>
      <c r="D212" s="139" t="s">
        <v>698</v>
      </c>
      <c r="E212" s="26" t="s">
        <v>8</v>
      </c>
      <c r="F212" s="26" t="s">
        <v>8</v>
      </c>
      <c r="G212" s="27">
        <v>42369</v>
      </c>
      <c r="H212" s="26"/>
      <c r="I212" s="26" t="s">
        <v>8</v>
      </c>
      <c r="J212" s="26" t="s">
        <v>8</v>
      </c>
      <c r="K212" s="26" t="s">
        <v>8</v>
      </c>
      <c r="L212" s="26" t="s">
        <v>8</v>
      </c>
      <c r="M212" s="26" t="s">
        <v>8</v>
      </c>
      <c r="N212" s="191"/>
      <c r="O212" s="191"/>
      <c r="P212" s="163"/>
      <c r="Q212" s="163"/>
      <c r="R212" s="177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</row>
    <row r="213" spans="1:47" s="14" customFormat="1" ht="97.5" customHeight="1" x14ac:dyDescent="0.2">
      <c r="A213" s="122">
        <f t="shared" si="21"/>
        <v>203</v>
      </c>
      <c r="B213" s="121" t="s">
        <v>513</v>
      </c>
      <c r="C213" s="17"/>
      <c r="D213" s="139" t="s">
        <v>698</v>
      </c>
      <c r="E213" s="26" t="s">
        <v>8</v>
      </c>
      <c r="F213" s="26" t="s">
        <v>8</v>
      </c>
      <c r="G213" s="27">
        <v>42735</v>
      </c>
      <c r="H213" s="26"/>
      <c r="I213" s="26" t="s">
        <v>8</v>
      </c>
      <c r="J213" s="26" t="s">
        <v>8</v>
      </c>
      <c r="K213" s="26" t="s">
        <v>8</v>
      </c>
      <c r="L213" s="26" t="s">
        <v>8</v>
      </c>
      <c r="M213" s="26" t="s">
        <v>8</v>
      </c>
      <c r="N213" s="191"/>
      <c r="O213" s="191"/>
      <c r="P213" s="163"/>
      <c r="Q213" s="163"/>
      <c r="R213" s="177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</row>
    <row r="214" spans="1:47" s="14" customFormat="1" ht="121.5" customHeight="1" x14ac:dyDescent="0.2">
      <c r="A214" s="216">
        <f t="shared" ref="A214:A219" si="27">A213+1</f>
        <v>204</v>
      </c>
      <c r="B214" s="215" t="s">
        <v>122</v>
      </c>
      <c r="C214" s="217"/>
      <c r="D214" s="214" t="s">
        <v>702</v>
      </c>
      <c r="E214" s="209">
        <v>41640</v>
      </c>
      <c r="F214" s="209">
        <v>41640</v>
      </c>
      <c r="G214" s="209">
        <v>42735</v>
      </c>
      <c r="H214" s="207"/>
      <c r="I214" s="23">
        <f>I215+I217</f>
        <v>124765.75</v>
      </c>
      <c r="J214" s="23">
        <f t="shared" ref="J214:K214" si="28">J215+J217</f>
        <v>72119.199999999997</v>
      </c>
      <c r="K214" s="23">
        <f t="shared" si="28"/>
        <v>72303.5</v>
      </c>
      <c r="L214" s="23">
        <v>0</v>
      </c>
      <c r="M214" s="205" t="s">
        <v>123</v>
      </c>
      <c r="N214" s="194"/>
      <c r="O214" s="194"/>
      <c r="P214" s="203"/>
      <c r="Q214" s="203"/>
      <c r="R214" s="203" t="s">
        <v>643</v>
      </c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</row>
    <row r="215" spans="1:47" ht="115.5" customHeight="1" x14ac:dyDescent="0.2">
      <c r="A215" s="212">
        <f t="shared" si="27"/>
        <v>205</v>
      </c>
      <c r="B215" s="213" t="s">
        <v>124</v>
      </c>
      <c r="C215" s="206"/>
      <c r="D215" s="214" t="s">
        <v>702</v>
      </c>
      <c r="E215" s="209">
        <v>41640</v>
      </c>
      <c r="F215" s="209">
        <v>41640</v>
      </c>
      <c r="G215" s="209">
        <v>42735</v>
      </c>
      <c r="H215" s="207"/>
      <c r="I215" s="32">
        <v>48268.6</v>
      </c>
      <c r="J215" s="25">
        <v>0</v>
      </c>
      <c r="K215" s="25">
        <v>0</v>
      </c>
      <c r="L215" s="25">
        <v>0</v>
      </c>
      <c r="M215" s="206" t="s">
        <v>125</v>
      </c>
      <c r="N215" s="191"/>
      <c r="O215" s="191"/>
      <c r="P215" s="204" t="s">
        <v>655</v>
      </c>
      <c r="Q215" s="203"/>
      <c r="R215" s="203"/>
    </row>
    <row r="216" spans="1:47" s="14" customFormat="1" ht="112.5" customHeight="1" x14ac:dyDescent="0.2">
      <c r="A216" s="85">
        <f t="shared" si="27"/>
        <v>206</v>
      </c>
      <c r="B216" s="72" t="s">
        <v>126</v>
      </c>
      <c r="C216" s="72"/>
      <c r="D216" s="214" t="s">
        <v>702</v>
      </c>
      <c r="E216" s="79">
        <v>41640</v>
      </c>
      <c r="F216" s="165">
        <v>41640</v>
      </c>
      <c r="G216" s="104">
        <v>42735</v>
      </c>
      <c r="H216" s="108"/>
      <c r="I216" s="59">
        <v>0</v>
      </c>
      <c r="J216" s="63">
        <v>0</v>
      </c>
      <c r="K216" s="63">
        <v>0</v>
      </c>
      <c r="L216" s="63">
        <v>0</v>
      </c>
      <c r="M216" s="164" t="s">
        <v>127</v>
      </c>
      <c r="N216" s="191"/>
      <c r="O216" s="191"/>
      <c r="P216" s="163" t="s">
        <v>655</v>
      </c>
      <c r="Q216" s="163"/>
      <c r="R216" s="177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</row>
    <row r="217" spans="1:47" s="14" customFormat="1" ht="91.5" customHeight="1" x14ac:dyDescent="0.2">
      <c r="A217" s="212">
        <f t="shared" si="27"/>
        <v>207</v>
      </c>
      <c r="B217" s="213" t="s">
        <v>128</v>
      </c>
      <c r="C217" s="210"/>
      <c r="D217" s="214" t="s">
        <v>702</v>
      </c>
      <c r="E217" s="209">
        <v>41640</v>
      </c>
      <c r="F217" s="209">
        <v>41640</v>
      </c>
      <c r="G217" s="218">
        <v>42004</v>
      </c>
      <c r="H217" s="207"/>
      <c r="I217" s="32">
        <v>76497.149999999994</v>
      </c>
      <c r="J217" s="63">
        <v>72119.199999999997</v>
      </c>
      <c r="K217" s="63">
        <v>72303.5</v>
      </c>
      <c r="L217" s="63">
        <v>0</v>
      </c>
      <c r="M217" s="207" t="s">
        <v>376</v>
      </c>
      <c r="N217" s="195"/>
      <c r="O217" s="195"/>
      <c r="P217" s="204" t="s">
        <v>655</v>
      </c>
      <c r="Q217" s="203"/>
      <c r="R217" s="203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</row>
    <row r="218" spans="1:47" s="11" customFormat="1" ht="135.75" customHeight="1" x14ac:dyDescent="0.2">
      <c r="A218" s="90">
        <f t="shared" si="27"/>
        <v>208</v>
      </c>
      <c r="B218" s="96" t="s">
        <v>514</v>
      </c>
      <c r="C218" s="17" t="s">
        <v>13</v>
      </c>
      <c r="D218" s="139" t="s">
        <v>702</v>
      </c>
      <c r="E218" s="26" t="s">
        <v>8</v>
      </c>
      <c r="F218" s="26" t="s">
        <v>8</v>
      </c>
      <c r="G218" s="27">
        <v>42004</v>
      </c>
      <c r="H218" s="26"/>
      <c r="I218" s="26" t="s">
        <v>8</v>
      </c>
      <c r="J218" s="26" t="s">
        <v>8</v>
      </c>
      <c r="K218" s="26" t="s">
        <v>8</v>
      </c>
      <c r="L218" s="26" t="s">
        <v>8</v>
      </c>
      <c r="M218" s="26" t="s">
        <v>8</v>
      </c>
      <c r="N218" s="191"/>
      <c r="O218" s="191"/>
      <c r="P218" s="163"/>
      <c r="Q218" s="163"/>
      <c r="R218" s="177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</row>
    <row r="219" spans="1:47" ht="135.75" customHeight="1" x14ac:dyDescent="0.2">
      <c r="A219" s="122">
        <f t="shared" si="27"/>
        <v>209</v>
      </c>
      <c r="B219" s="100" t="s">
        <v>515</v>
      </c>
      <c r="C219" s="17" t="s">
        <v>13</v>
      </c>
      <c r="D219" s="139" t="s">
        <v>702</v>
      </c>
      <c r="E219" s="26" t="s">
        <v>8</v>
      </c>
      <c r="F219" s="26" t="s">
        <v>8</v>
      </c>
      <c r="G219" s="27">
        <v>42369</v>
      </c>
      <c r="H219" s="26"/>
      <c r="I219" s="26" t="s">
        <v>8</v>
      </c>
      <c r="J219" s="26" t="s">
        <v>8</v>
      </c>
      <c r="K219" s="26" t="s">
        <v>8</v>
      </c>
      <c r="L219" s="26" t="s">
        <v>8</v>
      </c>
      <c r="M219" s="26" t="s">
        <v>8</v>
      </c>
      <c r="N219" s="191"/>
      <c r="O219" s="191"/>
      <c r="P219" s="163"/>
      <c r="Q219" s="163"/>
      <c r="R219" s="177"/>
    </row>
    <row r="220" spans="1:47" ht="132" customHeight="1" x14ac:dyDescent="0.2">
      <c r="A220" s="122">
        <f t="shared" ref="A220:A250" si="29">A219+1</f>
        <v>210</v>
      </c>
      <c r="B220" s="100" t="s">
        <v>516</v>
      </c>
      <c r="C220" s="17" t="s">
        <v>13</v>
      </c>
      <c r="D220" s="139" t="s">
        <v>702</v>
      </c>
      <c r="E220" s="26" t="s">
        <v>8</v>
      </c>
      <c r="F220" s="26" t="s">
        <v>8</v>
      </c>
      <c r="G220" s="27">
        <v>42735</v>
      </c>
      <c r="H220" s="26"/>
      <c r="I220" s="26" t="s">
        <v>8</v>
      </c>
      <c r="J220" s="26" t="s">
        <v>8</v>
      </c>
      <c r="K220" s="26" t="s">
        <v>8</v>
      </c>
      <c r="L220" s="26" t="s">
        <v>8</v>
      </c>
      <c r="M220" s="26" t="s">
        <v>8</v>
      </c>
      <c r="N220" s="191"/>
      <c r="O220" s="191"/>
      <c r="P220" s="163"/>
      <c r="Q220" s="163"/>
      <c r="R220" s="177"/>
    </row>
    <row r="221" spans="1:47" s="14" customFormat="1" ht="103.5" customHeight="1" x14ac:dyDescent="0.2">
      <c r="A221" s="153">
        <f t="shared" si="29"/>
        <v>211</v>
      </c>
      <c r="B221" s="52" t="s">
        <v>490</v>
      </c>
      <c r="C221" s="52"/>
      <c r="D221" s="135" t="s">
        <v>698</v>
      </c>
      <c r="E221" s="149">
        <v>41640</v>
      </c>
      <c r="F221" s="172">
        <v>41640</v>
      </c>
      <c r="G221" s="149">
        <v>42735</v>
      </c>
      <c r="H221" s="146"/>
      <c r="I221" s="23">
        <f>I222</f>
        <v>0</v>
      </c>
      <c r="J221" s="23">
        <v>0</v>
      </c>
      <c r="K221" s="23">
        <f>K222</f>
        <v>0</v>
      </c>
      <c r="L221" s="23">
        <f>L222</f>
        <v>0</v>
      </c>
      <c r="M221" s="137" t="s">
        <v>493</v>
      </c>
      <c r="N221" s="190"/>
      <c r="O221" s="190"/>
      <c r="P221" s="163"/>
      <c r="Q221" s="163"/>
      <c r="R221" s="163" t="s">
        <v>643</v>
      </c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</row>
    <row r="222" spans="1:47" s="14" customFormat="1" ht="142.5" customHeight="1" x14ac:dyDescent="0.2">
      <c r="A222" s="153">
        <f t="shared" si="29"/>
        <v>212</v>
      </c>
      <c r="B222" s="150" t="s">
        <v>495</v>
      </c>
      <c r="C222" s="150"/>
      <c r="D222" s="135" t="s">
        <v>698</v>
      </c>
      <c r="E222" s="151">
        <v>41640</v>
      </c>
      <c r="F222" s="165">
        <v>41640</v>
      </c>
      <c r="G222" s="151">
        <v>42735</v>
      </c>
      <c r="H222" s="146"/>
      <c r="I222" s="59">
        <v>0</v>
      </c>
      <c r="J222" s="59">
        <v>0</v>
      </c>
      <c r="K222" s="59">
        <v>0</v>
      </c>
      <c r="L222" s="59">
        <v>0</v>
      </c>
      <c r="M222" s="175" t="s">
        <v>265</v>
      </c>
      <c r="N222" s="191"/>
      <c r="O222" s="191"/>
      <c r="P222" s="163"/>
      <c r="Q222" s="163"/>
      <c r="R222" s="177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</row>
    <row r="223" spans="1:47" s="14" customFormat="1" ht="78.75" x14ac:dyDescent="0.2">
      <c r="A223" s="153">
        <f t="shared" si="29"/>
        <v>213</v>
      </c>
      <c r="B223" s="148" t="s">
        <v>496</v>
      </c>
      <c r="C223" s="148"/>
      <c r="D223" s="135" t="s">
        <v>698</v>
      </c>
      <c r="E223" s="151">
        <v>41640</v>
      </c>
      <c r="F223" s="165">
        <v>41640</v>
      </c>
      <c r="G223" s="80">
        <v>42735</v>
      </c>
      <c r="H223" s="146"/>
      <c r="I223" s="24">
        <v>0</v>
      </c>
      <c r="J223" s="24">
        <v>0</v>
      </c>
      <c r="K223" s="24">
        <v>0</v>
      </c>
      <c r="L223" s="24">
        <v>0</v>
      </c>
      <c r="M223" s="175" t="s">
        <v>265</v>
      </c>
      <c r="N223" s="191"/>
      <c r="O223" s="191"/>
      <c r="P223" s="163"/>
      <c r="Q223" s="163"/>
      <c r="R223" s="177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</row>
    <row r="224" spans="1:47" ht="102.75" customHeight="1" x14ac:dyDescent="0.2">
      <c r="A224" s="153">
        <f t="shared" si="29"/>
        <v>214</v>
      </c>
      <c r="B224" s="139" t="s">
        <v>517</v>
      </c>
      <c r="C224" s="17"/>
      <c r="D224" s="139" t="s">
        <v>698</v>
      </c>
      <c r="E224" s="26" t="s">
        <v>8</v>
      </c>
      <c r="F224" s="26" t="s">
        <v>8</v>
      </c>
      <c r="G224" s="27">
        <v>42004</v>
      </c>
      <c r="H224" s="26"/>
      <c r="I224" s="26" t="s">
        <v>8</v>
      </c>
      <c r="J224" s="26" t="s">
        <v>8</v>
      </c>
      <c r="K224" s="26" t="s">
        <v>8</v>
      </c>
      <c r="L224" s="26" t="s">
        <v>8</v>
      </c>
      <c r="M224" s="26" t="s">
        <v>8</v>
      </c>
      <c r="N224" s="191"/>
      <c r="O224" s="191"/>
      <c r="P224" s="163"/>
      <c r="Q224" s="163"/>
      <c r="R224" s="177"/>
    </row>
    <row r="225" spans="1:47" ht="104.25" customHeight="1" x14ac:dyDescent="0.2">
      <c r="A225" s="153">
        <f t="shared" si="29"/>
        <v>215</v>
      </c>
      <c r="B225" s="139" t="s">
        <v>518</v>
      </c>
      <c r="C225" s="17"/>
      <c r="D225" s="139" t="s">
        <v>698</v>
      </c>
      <c r="E225" s="26" t="s">
        <v>8</v>
      </c>
      <c r="F225" s="26" t="s">
        <v>8</v>
      </c>
      <c r="G225" s="27">
        <v>42369</v>
      </c>
      <c r="H225" s="26"/>
      <c r="I225" s="26" t="s">
        <v>8</v>
      </c>
      <c r="J225" s="26" t="s">
        <v>8</v>
      </c>
      <c r="K225" s="26" t="s">
        <v>8</v>
      </c>
      <c r="L225" s="26" t="s">
        <v>8</v>
      </c>
      <c r="M225" s="26" t="s">
        <v>8</v>
      </c>
      <c r="N225" s="191"/>
      <c r="O225" s="191"/>
      <c r="P225" s="163"/>
      <c r="Q225" s="163"/>
      <c r="R225" s="177"/>
    </row>
    <row r="226" spans="1:47" ht="110.25" customHeight="1" x14ac:dyDescent="0.2">
      <c r="A226" s="153">
        <f t="shared" si="29"/>
        <v>216</v>
      </c>
      <c r="B226" s="139" t="s">
        <v>519</v>
      </c>
      <c r="C226" s="17"/>
      <c r="D226" s="139" t="s">
        <v>698</v>
      </c>
      <c r="E226" s="26" t="s">
        <v>8</v>
      </c>
      <c r="F226" s="26" t="s">
        <v>8</v>
      </c>
      <c r="G226" s="27">
        <v>42735</v>
      </c>
      <c r="H226" s="26"/>
      <c r="I226" s="26" t="s">
        <v>8</v>
      </c>
      <c r="J226" s="26" t="s">
        <v>8</v>
      </c>
      <c r="K226" s="26" t="s">
        <v>8</v>
      </c>
      <c r="L226" s="26" t="s">
        <v>8</v>
      </c>
      <c r="M226" s="26" t="s">
        <v>8</v>
      </c>
      <c r="N226" s="191"/>
      <c r="O226" s="191"/>
      <c r="P226" s="163"/>
      <c r="Q226" s="163"/>
      <c r="R226" s="177"/>
    </row>
    <row r="227" spans="1:47" ht="94.5" x14ac:dyDescent="0.2">
      <c r="A227" s="145">
        <f t="shared" si="29"/>
        <v>217</v>
      </c>
      <c r="B227" s="70" t="s">
        <v>129</v>
      </c>
      <c r="C227" s="70"/>
      <c r="D227" s="135" t="s">
        <v>698</v>
      </c>
      <c r="E227" s="79">
        <v>41640</v>
      </c>
      <c r="F227" s="165">
        <v>41640</v>
      </c>
      <c r="G227" s="80">
        <v>42735</v>
      </c>
      <c r="H227" s="101"/>
      <c r="I227" s="23">
        <f>I228</f>
        <v>739.60482999999999</v>
      </c>
      <c r="J227" s="23">
        <f t="shared" ref="J227:K227" si="30">J228</f>
        <v>594.6</v>
      </c>
      <c r="K227" s="23">
        <f t="shared" si="30"/>
        <v>0</v>
      </c>
      <c r="L227" s="23">
        <f>L228</f>
        <v>775.91582999999991</v>
      </c>
      <c r="M227" s="167" t="s">
        <v>130</v>
      </c>
      <c r="N227" s="190"/>
      <c r="O227" s="190"/>
      <c r="P227" s="163"/>
      <c r="Q227" s="163"/>
      <c r="R227" s="163" t="s">
        <v>629</v>
      </c>
    </row>
    <row r="228" spans="1:47" s="40" customFormat="1" ht="147" customHeight="1" x14ac:dyDescent="0.2">
      <c r="A228" s="122">
        <f t="shared" si="29"/>
        <v>218</v>
      </c>
      <c r="B228" s="72" t="s">
        <v>484</v>
      </c>
      <c r="C228" s="72"/>
      <c r="D228" s="135" t="s">
        <v>698</v>
      </c>
      <c r="E228" s="79">
        <v>41640</v>
      </c>
      <c r="F228" s="165">
        <v>41640</v>
      </c>
      <c r="G228" s="79">
        <v>42735</v>
      </c>
      <c r="H228" s="101"/>
      <c r="I228" s="59">
        <f>739604.83/1000</f>
        <v>739.60482999999999</v>
      </c>
      <c r="J228" s="59">
        <v>594.6</v>
      </c>
      <c r="K228" s="59">
        <v>0</v>
      </c>
      <c r="L228" s="59">
        <f>775915.83/1000</f>
        <v>775.91582999999991</v>
      </c>
      <c r="M228" s="164" t="s">
        <v>257</v>
      </c>
      <c r="N228" s="191"/>
      <c r="O228" s="191"/>
      <c r="P228" s="163" t="s">
        <v>656</v>
      </c>
      <c r="Q228" s="163" t="s">
        <v>650</v>
      </c>
      <c r="R228" s="180" t="s">
        <v>657</v>
      </c>
    </row>
    <row r="229" spans="1:47" s="20" customFormat="1" ht="99.75" customHeight="1" x14ac:dyDescent="0.2">
      <c r="A229" s="122">
        <f t="shared" si="29"/>
        <v>219</v>
      </c>
      <c r="B229" s="71" t="s">
        <v>485</v>
      </c>
      <c r="C229" s="71"/>
      <c r="D229" s="135" t="s">
        <v>698</v>
      </c>
      <c r="E229" s="79">
        <v>41640</v>
      </c>
      <c r="F229" s="165">
        <v>41640</v>
      </c>
      <c r="G229" s="80">
        <v>42735</v>
      </c>
      <c r="H229" s="53"/>
      <c r="I229" s="24">
        <v>0</v>
      </c>
      <c r="J229" s="24">
        <v>0</v>
      </c>
      <c r="K229" s="24">
        <v>0</v>
      </c>
      <c r="L229" s="24">
        <v>0</v>
      </c>
      <c r="M229" s="166" t="s">
        <v>131</v>
      </c>
      <c r="N229" s="191"/>
      <c r="O229" s="191"/>
      <c r="P229" s="163"/>
      <c r="Q229" s="163"/>
      <c r="R229" s="177"/>
    </row>
    <row r="230" spans="1:47" s="5" customFormat="1" ht="102" customHeight="1" x14ac:dyDescent="0.2">
      <c r="A230" s="122">
        <f t="shared" si="29"/>
        <v>220</v>
      </c>
      <c r="B230" s="81" t="s">
        <v>520</v>
      </c>
      <c r="C230" s="17"/>
      <c r="D230" s="139" t="s">
        <v>698</v>
      </c>
      <c r="E230" s="26" t="s">
        <v>8</v>
      </c>
      <c r="F230" s="26" t="s">
        <v>8</v>
      </c>
      <c r="G230" s="27">
        <v>42004</v>
      </c>
      <c r="H230" s="26"/>
      <c r="I230" s="26" t="s">
        <v>8</v>
      </c>
      <c r="J230" s="26" t="s">
        <v>8</v>
      </c>
      <c r="K230" s="26" t="s">
        <v>8</v>
      </c>
      <c r="L230" s="26" t="s">
        <v>8</v>
      </c>
      <c r="M230" s="26" t="s">
        <v>8</v>
      </c>
      <c r="N230" s="191"/>
      <c r="O230" s="191"/>
      <c r="P230" s="163"/>
      <c r="Q230" s="163"/>
      <c r="R230" s="177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7" s="11" customFormat="1" ht="78.75" x14ac:dyDescent="0.2">
      <c r="A231" s="122">
        <f t="shared" si="29"/>
        <v>221</v>
      </c>
      <c r="B231" s="81" t="s">
        <v>521</v>
      </c>
      <c r="C231" s="17"/>
      <c r="D231" s="139" t="s">
        <v>698</v>
      </c>
      <c r="E231" s="26" t="s">
        <v>8</v>
      </c>
      <c r="F231" s="26" t="s">
        <v>8</v>
      </c>
      <c r="G231" s="27">
        <v>42369</v>
      </c>
      <c r="H231" s="26"/>
      <c r="I231" s="26" t="s">
        <v>8</v>
      </c>
      <c r="J231" s="26" t="s">
        <v>8</v>
      </c>
      <c r="K231" s="26" t="s">
        <v>8</v>
      </c>
      <c r="L231" s="26" t="s">
        <v>8</v>
      </c>
      <c r="M231" s="26" t="s">
        <v>8</v>
      </c>
      <c r="N231" s="191"/>
      <c r="O231" s="191"/>
      <c r="P231" s="163"/>
      <c r="Q231" s="163"/>
      <c r="R231" s="177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</row>
    <row r="232" spans="1:47" ht="78.75" x14ac:dyDescent="0.2">
      <c r="A232" s="122">
        <f t="shared" si="29"/>
        <v>222</v>
      </c>
      <c r="B232" s="81" t="s">
        <v>522</v>
      </c>
      <c r="C232" s="17"/>
      <c r="D232" s="139" t="s">
        <v>698</v>
      </c>
      <c r="E232" s="26" t="s">
        <v>8</v>
      </c>
      <c r="F232" s="26" t="s">
        <v>8</v>
      </c>
      <c r="G232" s="27">
        <v>42735</v>
      </c>
      <c r="H232" s="26"/>
      <c r="I232" s="26" t="s">
        <v>8</v>
      </c>
      <c r="J232" s="26" t="s">
        <v>8</v>
      </c>
      <c r="K232" s="26" t="s">
        <v>8</v>
      </c>
      <c r="L232" s="26" t="s">
        <v>8</v>
      </c>
      <c r="M232" s="26" t="s">
        <v>8</v>
      </c>
      <c r="N232" s="191"/>
      <c r="O232" s="191"/>
      <c r="P232" s="163"/>
      <c r="Q232" s="163"/>
      <c r="R232" s="177"/>
    </row>
    <row r="233" spans="1:47" s="20" customFormat="1" ht="141.75" x14ac:dyDescent="0.2">
      <c r="A233" s="122">
        <f t="shared" si="29"/>
        <v>223</v>
      </c>
      <c r="B233" s="78" t="s">
        <v>132</v>
      </c>
      <c r="C233" s="78"/>
      <c r="D233" s="73" t="s">
        <v>700</v>
      </c>
      <c r="E233" s="79">
        <v>41640</v>
      </c>
      <c r="F233" s="165">
        <v>41640</v>
      </c>
      <c r="G233" s="79">
        <v>42735</v>
      </c>
      <c r="H233" s="101"/>
      <c r="I233" s="54">
        <f>I234</f>
        <v>3661.38</v>
      </c>
      <c r="J233" s="54">
        <f t="shared" ref="J233:K233" si="31">J234</f>
        <v>2790</v>
      </c>
      <c r="K233" s="54">
        <f t="shared" si="31"/>
        <v>0</v>
      </c>
      <c r="L233" s="54">
        <f>L234</f>
        <v>3661.3801800000001</v>
      </c>
      <c r="M233" s="171" t="s">
        <v>133</v>
      </c>
      <c r="N233" s="190"/>
      <c r="O233" s="190"/>
      <c r="P233" s="163"/>
      <c r="Q233" s="163"/>
      <c r="R233" s="163" t="s">
        <v>636</v>
      </c>
    </row>
    <row r="234" spans="1:47" ht="141.75" x14ac:dyDescent="0.2">
      <c r="A234" s="122">
        <f t="shared" si="29"/>
        <v>224</v>
      </c>
      <c r="B234" s="72" t="s">
        <v>134</v>
      </c>
      <c r="C234" s="72"/>
      <c r="D234" s="135" t="s">
        <v>700</v>
      </c>
      <c r="E234" s="79">
        <v>41640</v>
      </c>
      <c r="F234" s="165">
        <v>41640</v>
      </c>
      <c r="G234" s="79">
        <v>42735</v>
      </c>
      <c r="H234" s="101"/>
      <c r="I234" s="63">
        <v>3661.38</v>
      </c>
      <c r="J234" s="63">
        <v>2790</v>
      </c>
      <c r="K234" s="63">
        <v>0</v>
      </c>
      <c r="L234" s="63">
        <f>3661380.18/1000</f>
        <v>3661.3801800000001</v>
      </c>
      <c r="M234" s="164" t="s">
        <v>135</v>
      </c>
      <c r="N234" s="191"/>
      <c r="O234" s="191"/>
      <c r="P234" s="163" t="s">
        <v>626</v>
      </c>
      <c r="Q234" s="163" t="s">
        <v>650</v>
      </c>
      <c r="R234" s="181" t="s">
        <v>644</v>
      </c>
    </row>
    <row r="235" spans="1:47" s="20" customFormat="1" ht="94.5" x14ac:dyDescent="0.2">
      <c r="A235" s="122">
        <f t="shared" si="29"/>
        <v>225</v>
      </c>
      <c r="B235" s="71" t="s">
        <v>136</v>
      </c>
      <c r="C235" s="71"/>
      <c r="D235" s="135" t="s">
        <v>700</v>
      </c>
      <c r="E235" s="79">
        <v>41640</v>
      </c>
      <c r="F235" s="165">
        <v>41640</v>
      </c>
      <c r="G235" s="80">
        <v>42735</v>
      </c>
      <c r="H235" s="53"/>
      <c r="I235" s="24">
        <v>0</v>
      </c>
      <c r="J235" s="25">
        <v>0</v>
      </c>
      <c r="K235" s="24">
        <v>0</v>
      </c>
      <c r="L235" s="24">
        <v>0</v>
      </c>
      <c r="M235" s="166" t="s">
        <v>137</v>
      </c>
      <c r="N235" s="191"/>
      <c r="O235" s="191"/>
      <c r="P235" s="163" t="s">
        <v>626</v>
      </c>
      <c r="Q235" s="163"/>
      <c r="R235" s="181" t="s">
        <v>644</v>
      </c>
    </row>
    <row r="236" spans="1:47" s="20" customFormat="1" ht="94.5" x14ac:dyDescent="0.2">
      <c r="A236" s="122">
        <f t="shared" si="29"/>
        <v>226</v>
      </c>
      <c r="B236" s="81" t="s">
        <v>523</v>
      </c>
      <c r="C236" s="17"/>
      <c r="D236" s="139" t="s">
        <v>700</v>
      </c>
      <c r="E236" s="27" t="s">
        <v>8</v>
      </c>
      <c r="F236" s="27" t="s">
        <v>8</v>
      </c>
      <c r="G236" s="27">
        <v>42004</v>
      </c>
      <c r="H236" s="26"/>
      <c r="I236" s="9" t="s">
        <v>8</v>
      </c>
      <c r="J236" s="9" t="s">
        <v>8</v>
      </c>
      <c r="K236" s="9" t="s">
        <v>8</v>
      </c>
      <c r="L236" s="9" t="s">
        <v>8</v>
      </c>
      <c r="M236" s="26" t="s">
        <v>8</v>
      </c>
      <c r="N236" s="191"/>
      <c r="O236" s="191"/>
      <c r="P236" s="163"/>
      <c r="Q236" s="163"/>
      <c r="R236" s="177"/>
    </row>
    <row r="237" spans="1:47" s="11" customFormat="1" ht="94.5" x14ac:dyDescent="0.2">
      <c r="A237" s="122">
        <f t="shared" si="29"/>
        <v>227</v>
      </c>
      <c r="B237" s="81" t="s">
        <v>524</v>
      </c>
      <c r="C237" s="17"/>
      <c r="D237" s="139" t="s">
        <v>700</v>
      </c>
      <c r="E237" s="27" t="s">
        <v>8</v>
      </c>
      <c r="F237" s="27" t="s">
        <v>8</v>
      </c>
      <c r="G237" s="27">
        <v>42369</v>
      </c>
      <c r="H237" s="26"/>
      <c r="I237" s="9" t="s">
        <v>8</v>
      </c>
      <c r="J237" s="9" t="s">
        <v>8</v>
      </c>
      <c r="K237" s="9" t="s">
        <v>8</v>
      </c>
      <c r="L237" s="9" t="s">
        <v>8</v>
      </c>
      <c r="M237" s="26" t="s">
        <v>8</v>
      </c>
      <c r="N237" s="191"/>
      <c r="O237" s="191"/>
      <c r="P237" s="163"/>
      <c r="Q237" s="163"/>
      <c r="R237" s="177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0"/>
    </row>
    <row r="238" spans="1:47" ht="117.75" customHeight="1" x14ac:dyDescent="0.2">
      <c r="A238" s="122">
        <f t="shared" si="29"/>
        <v>228</v>
      </c>
      <c r="B238" s="81" t="s">
        <v>525</v>
      </c>
      <c r="C238" s="17"/>
      <c r="D238" s="139" t="s">
        <v>700</v>
      </c>
      <c r="E238" s="26" t="s">
        <v>8</v>
      </c>
      <c r="F238" s="26" t="s">
        <v>8</v>
      </c>
      <c r="G238" s="27">
        <v>42735</v>
      </c>
      <c r="H238" s="26"/>
      <c r="I238" s="26" t="s">
        <v>8</v>
      </c>
      <c r="J238" s="26" t="s">
        <v>8</v>
      </c>
      <c r="K238" s="26" t="s">
        <v>8</v>
      </c>
      <c r="L238" s="26" t="s">
        <v>8</v>
      </c>
      <c r="M238" s="26" t="s">
        <v>8</v>
      </c>
      <c r="N238" s="191"/>
      <c r="O238" s="191"/>
      <c r="P238" s="163"/>
      <c r="Q238" s="163"/>
      <c r="R238" s="177"/>
    </row>
    <row r="239" spans="1:47" ht="104.25" customHeight="1" x14ac:dyDescent="0.2">
      <c r="A239" s="122">
        <f t="shared" si="29"/>
        <v>229</v>
      </c>
      <c r="B239" s="70" t="s">
        <v>138</v>
      </c>
      <c r="C239" s="70"/>
      <c r="D239" s="73" t="s">
        <v>700</v>
      </c>
      <c r="E239" s="79">
        <v>41640</v>
      </c>
      <c r="F239" s="165">
        <v>41640</v>
      </c>
      <c r="G239" s="80">
        <v>42735</v>
      </c>
      <c r="H239" s="101"/>
      <c r="I239" s="23">
        <f>I240+I241</f>
        <v>14396.109680000001</v>
      </c>
      <c r="J239" s="23">
        <f t="shared" ref="J239:K239" si="32">J240+J241</f>
        <v>14396.109999999999</v>
      </c>
      <c r="K239" s="23">
        <f t="shared" si="32"/>
        <v>8729.1</v>
      </c>
      <c r="L239" s="23">
        <f>L240+L241</f>
        <v>14389.92518</v>
      </c>
      <c r="M239" s="167" t="s">
        <v>139</v>
      </c>
      <c r="N239" s="190"/>
      <c r="O239" s="190"/>
      <c r="P239" s="163"/>
      <c r="Q239" s="163"/>
      <c r="R239" s="163" t="s">
        <v>636</v>
      </c>
    </row>
    <row r="240" spans="1:47" ht="100.5" customHeight="1" x14ac:dyDescent="0.2">
      <c r="A240" s="122">
        <f t="shared" si="29"/>
        <v>230</v>
      </c>
      <c r="B240" s="71" t="s">
        <v>140</v>
      </c>
      <c r="C240" s="71"/>
      <c r="D240" s="135" t="s">
        <v>700</v>
      </c>
      <c r="E240" s="79">
        <v>41640</v>
      </c>
      <c r="F240" s="165">
        <v>41640</v>
      </c>
      <c r="G240" s="80">
        <v>42735</v>
      </c>
      <c r="H240" s="101"/>
      <c r="I240" s="25">
        <f>12908312.48/1000</f>
        <v>12908.312480000001</v>
      </c>
      <c r="J240" s="25">
        <v>12908.31</v>
      </c>
      <c r="K240" s="25">
        <v>8729.1</v>
      </c>
      <c r="L240" s="25">
        <f>12908312.48/1000</f>
        <v>12908.312480000001</v>
      </c>
      <c r="M240" s="166" t="s">
        <v>318</v>
      </c>
      <c r="N240" s="191"/>
      <c r="O240" s="191"/>
      <c r="P240" s="163" t="s">
        <v>626</v>
      </c>
      <c r="Q240" s="163" t="s">
        <v>627</v>
      </c>
      <c r="R240" s="181" t="s">
        <v>644</v>
      </c>
    </row>
    <row r="241" spans="1:47" ht="94.5" x14ac:dyDescent="0.2">
      <c r="A241" s="122">
        <f t="shared" si="29"/>
        <v>231</v>
      </c>
      <c r="B241" s="71" t="s">
        <v>486</v>
      </c>
      <c r="C241" s="71"/>
      <c r="D241" s="135" t="s">
        <v>700</v>
      </c>
      <c r="E241" s="79">
        <v>41640</v>
      </c>
      <c r="F241" s="165">
        <v>41640</v>
      </c>
      <c r="G241" s="80">
        <v>42735</v>
      </c>
      <c r="H241" s="101"/>
      <c r="I241" s="25">
        <f>1487797.2/1000</f>
        <v>1487.7972</v>
      </c>
      <c r="J241" s="25">
        <v>1487.8</v>
      </c>
      <c r="K241" s="25">
        <v>0</v>
      </c>
      <c r="L241" s="25">
        <f>1481612.7/1000</f>
        <v>1481.6126999999999</v>
      </c>
      <c r="M241" s="166" t="s">
        <v>319</v>
      </c>
      <c r="N241" s="191"/>
      <c r="O241" s="191"/>
      <c r="P241" s="163" t="s">
        <v>626</v>
      </c>
      <c r="Q241" s="163" t="s">
        <v>627</v>
      </c>
      <c r="R241" s="181" t="s">
        <v>644</v>
      </c>
    </row>
    <row r="242" spans="1:47" s="14" customFormat="1" ht="94.5" x14ac:dyDescent="0.2">
      <c r="A242" s="122">
        <f t="shared" si="29"/>
        <v>232</v>
      </c>
      <c r="B242" s="81" t="s">
        <v>526</v>
      </c>
      <c r="C242" s="17" t="s">
        <v>13</v>
      </c>
      <c r="D242" s="139" t="s">
        <v>700</v>
      </c>
      <c r="E242" s="26" t="s">
        <v>8</v>
      </c>
      <c r="F242" s="26" t="s">
        <v>8</v>
      </c>
      <c r="G242" s="27">
        <v>42004</v>
      </c>
      <c r="H242" s="26"/>
      <c r="I242" s="26" t="s">
        <v>8</v>
      </c>
      <c r="J242" s="26" t="s">
        <v>8</v>
      </c>
      <c r="K242" s="26" t="s">
        <v>8</v>
      </c>
      <c r="L242" s="26" t="s">
        <v>8</v>
      </c>
      <c r="M242" s="26" t="s">
        <v>8</v>
      </c>
      <c r="N242" s="191"/>
      <c r="O242" s="191"/>
      <c r="P242" s="163"/>
      <c r="Q242" s="163"/>
      <c r="R242" s="177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</row>
    <row r="243" spans="1:47" s="14" customFormat="1" ht="94.5" x14ac:dyDescent="0.2">
      <c r="A243" s="122">
        <f t="shared" si="29"/>
        <v>233</v>
      </c>
      <c r="B243" s="81" t="s">
        <v>527</v>
      </c>
      <c r="C243" s="17" t="s">
        <v>13</v>
      </c>
      <c r="D243" s="139" t="s">
        <v>700</v>
      </c>
      <c r="E243" s="26" t="s">
        <v>8</v>
      </c>
      <c r="F243" s="26" t="s">
        <v>8</v>
      </c>
      <c r="G243" s="27">
        <v>42185</v>
      </c>
      <c r="H243" s="26"/>
      <c r="I243" s="26" t="s">
        <v>8</v>
      </c>
      <c r="J243" s="26" t="s">
        <v>8</v>
      </c>
      <c r="K243" s="26" t="s">
        <v>8</v>
      </c>
      <c r="L243" s="26" t="s">
        <v>8</v>
      </c>
      <c r="M243" s="26" t="s">
        <v>8</v>
      </c>
      <c r="N243" s="191"/>
      <c r="O243" s="191"/>
      <c r="P243" s="163"/>
      <c r="Q243" s="163"/>
      <c r="R243" s="177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</row>
    <row r="244" spans="1:47" s="14" customFormat="1" ht="94.5" x14ac:dyDescent="0.2">
      <c r="A244" s="122">
        <f t="shared" si="29"/>
        <v>234</v>
      </c>
      <c r="B244" s="81" t="s">
        <v>528</v>
      </c>
      <c r="C244" s="17" t="s">
        <v>13</v>
      </c>
      <c r="D244" s="139" t="s">
        <v>700</v>
      </c>
      <c r="E244" s="26" t="s">
        <v>8</v>
      </c>
      <c r="F244" s="26" t="s">
        <v>8</v>
      </c>
      <c r="G244" s="27">
        <v>42551</v>
      </c>
      <c r="H244" s="26"/>
      <c r="I244" s="26" t="s">
        <v>8</v>
      </c>
      <c r="J244" s="26" t="s">
        <v>8</v>
      </c>
      <c r="K244" s="26" t="s">
        <v>8</v>
      </c>
      <c r="L244" s="26" t="s">
        <v>8</v>
      </c>
      <c r="M244" s="26" t="s">
        <v>8</v>
      </c>
      <c r="N244" s="191"/>
      <c r="O244" s="191"/>
      <c r="P244" s="163"/>
      <c r="Q244" s="163"/>
      <c r="R244" s="177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</row>
    <row r="245" spans="1:47" s="11" customFormat="1" ht="94.5" x14ac:dyDescent="0.2">
      <c r="A245" s="122">
        <f t="shared" si="29"/>
        <v>235</v>
      </c>
      <c r="B245" s="70" t="s">
        <v>141</v>
      </c>
      <c r="C245" s="70"/>
      <c r="D245" s="135" t="s">
        <v>698</v>
      </c>
      <c r="E245" s="79">
        <v>41640</v>
      </c>
      <c r="F245" s="165">
        <v>41640</v>
      </c>
      <c r="G245" s="80">
        <v>42735</v>
      </c>
      <c r="H245" s="101"/>
      <c r="I245" s="23">
        <f>I246</f>
        <v>428.56632000000002</v>
      </c>
      <c r="J245" s="23">
        <f t="shared" ref="J245:K245" si="33">J246</f>
        <v>428.57</v>
      </c>
      <c r="K245" s="23">
        <f t="shared" si="33"/>
        <v>0</v>
      </c>
      <c r="L245" s="23">
        <f>L246</f>
        <v>428.56632000000002</v>
      </c>
      <c r="M245" s="167" t="s">
        <v>142</v>
      </c>
      <c r="N245" s="190"/>
      <c r="O245" s="190"/>
      <c r="P245" s="163"/>
      <c r="Q245" s="163"/>
      <c r="R245" s="163" t="s">
        <v>630</v>
      </c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40"/>
      <c r="AO245" s="40"/>
      <c r="AP245" s="40"/>
      <c r="AQ245" s="40"/>
      <c r="AR245" s="40"/>
      <c r="AS245" s="40"/>
      <c r="AT245" s="40"/>
      <c r="AU245" s="40"/>
    </row>
    <row r="246" spans="1:47" ht="78.75" x14ac:dyDescent="0.2">
      <c r="A246" s="122">
        <f t="shared" si="29"/>
        <v>236</v>
      </c>
      <c r="B246" s="71" t="s">
        <v>143</v>
      </c>
      <c r="C246" s="71"/>
      <c r="D246" s="135" t="s">
        <v>698</v>
      </c>
      <c r="E246" s="79">
        <v>41640</v>
      </c>
      <c r="F246" s="165">
        <v>41640</v>
      </c>
      <c r="G246" s="80">
        <v>42735</v>
      </c>
      <c r="H246" s="101"/>
      <c r="I246" s="24">
        <f>428566.32/1000</f>
        <v>428.56632000000002</v>
      </c>
      <c r="J246" s="25">
        <v>428.57</v>
      </c>
      <c r="K246" s="24">
        <v>0</v>
      </c>
      <c r="L246" s="24">
        <f>428566.32/1000</f>
        <v>428.56632000000002</v>
      </c>
      <c r="M246" s="166" t="s">
        <v>144</v>
      </c>
      <c r="N246" s="191"/>
      <c r="O246" s="191"/>
      <c r="P246" s="163" t="s">
        <v>626</v>
      </c>
      <c r="Q246" s="163" t="s">
        <v>627</v>
      </c>
      <c r="R246" s="180" t="s">
        <v>628</v>
      </c>
    </row>
    <row r="247" spans="1:47" ht="94.5" x14ac:dyDescent="0.2">
      <c r="A247" s="122">
        <f t="shared" si="29"/>
        <v>237</v>
      </c>
      <c r="B247" s="71" t="s">
        <v>145</v>
      </c>
      <c r="C247" s="71"/>
      <c r="D247" s="135" t="s">
        <v>698</v>
      </c>
      <c r="E247" s="79">
        <v>41640</v>
      </c>
      <c r="F247" s="165">
        <v>41640</v>
      </c>
      <c r="G247" s="80">
        <v>42735</v>
      </c>
      <c r="H247" s="108"/>
      <c r="I247" s="24">
        <v>0</v>
      </c>
      <c r="J247" s="25">
        <v>0</v>
      </c>
      <c r="K247" s="24">
        <v>0</v>
      </c>
      <c r="L247" s="24">
        <v>0</v>
      </c>
      <c r="M247" s="166" t="s">
        <v>146</v>
      </c>
      <c r="N247" s="191"/>
      <c r="O247" s="191"/>
      <c r="P247" s="163" t="s">
        <v>626</v>
      </c>
      <c r="Q247" s="163"/>
      <c r="R247" s="180" t="s">
        <v>628</v>
      </c>
    </row>
    <row r="248" spans="1:47" s="14" customFormat="1" ht="106.5" customHeight="1" x14ac:dyDescent="0.2">
      <c r="A248" s="122">
        <f t="shared" si="29"/>
        <v>238</v>
      </c>
      <c r="B248" s="139" t="s">
        <v>529</v>
      </c>
      <c r="C248" s="17"/>
      <c r="D248" s="139" t="s">
        <v>698</v>
      </c>
      <c r="E248" s="26" t="s">
        <v>8</v>
      </c>
      <c r="F248" s="26" t="s">
        <v>8</v>
      </c>
      <c r="G248" s="27">
        <v>42004</v>
      </c>
      <c r="H248" s="26"/>
      <c r="I248" s="26" t="s">
        <v>8</v>
      </c>
      <c r="J248" s="26" t="s">
        <v>8</v>
      </c>
      <c r="K248" s="26" t="s">
        <v>8</v>
      </c>
      <c r="L248" s="26" t="s">
        <v>8</v>
      </c>
      <c r="M248" s="26" t="s">
        <v>8</v>
      </c>
      <c r="N248" s="191"/>
      <c r="O248" s="191"/>
      <c r="P248" s="163"/>
      <c r="Q248" s="163"/>
      <c r="R248" s="177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</row>
    <row r="249" spans="1:47" s="14" customFormat="1" ht="105.75" customHeight="1" x14ac:dyDescent="0.2">
      <c r="A249" s="122">
        <f t="shared" si="29"/>
        <v>239</v>
      </c>
      <c r="B249" s="139" t="s">
        <v>530</v>
      </c>
      <c r="C249" s="17" t="s">
        <v>13</v>
      </c>
      <c r="D249" s="139" t="s">
        <v>698</v>
      </c>
      <c r="E249" s="26" t="s">
        <v>8</v>
      </c>
      <c r="F249" s="26" t="s">
        <v>8</v>
      </c>
      <c r="G249" s="27">
        <v>42369</v>
      </c>
      <c r="H249" s="26"/>
      <c r="I249" s="26" t="s">
        <v>8</v>
      </c>
      <c r="J249" s="26" t="s">
        <v>8</v>
      </c>
      <c r="K249" s="26" t="s">
        <v>8</v>
      </c>
      <c r="L249" s="26" t="s">
        <v>8</v>
      </c>
      <c r="M249" s="26" t="s">
        <v>8</v>
      </c>
      <c r="N249" s="191"/>
      <c r="O249" s="191"/>
      <c r="P249" s="163"/>
      <c r="Q249" s="163"/>
      <c r="R249" s="177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</row>
    <row r="250" spans="1:47" s="125" customFormat="1" ht="99.75" customHeight="1" x14ac:dyDescent="0.2">
      <c r="A250" s="122">
        <f t="shared" si="29"/>
        <v>240</v>
      </c>
      <c r="B250" s="139" t="s">
        <v>531</v>
      </c>
      <c r="C250" s="17"/>
      <c r="D250" s="139" t="s">
        <v>698</v>
      </c>
      <c r="E250" s="26" t="s">
        <v>8</v>
      </c>
      <c r="F250" s="26" t="s">
        <v>8</v>
      </c>
      <c r="G250" s="27">
        <v>42735</v>
      </c>
      <c r="H250" s="26"/>
      <c r="I250" s="26" t="s">
        <v>8</v>
      </c>
      <c r="J250" s="26" t="s">
        <v>8</v>
      </c>
      <c r="K250" s="26" t="s">
        <v>8</v>
      </c>
      <c r="L250" s="26" t="s">
        <v>8</v>
      </c>
      <c r="M250" s="26" t="s">
        <v>8</v>
      </c>
      <c r="N250" s="191"/>
      <c r="O250" s="191"/>
      <c r="P250" s="163"/>
      <c r="Q250" s="163"/>
      <c r="R250" s="177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7" s="14" customFormat="1" ht="20.25" customHeight="1" x14ac:dyDescent="0.2">
      <c r="A251" s="212">
        <f>A250+1</f>
        <v>241</v>
      </c>
      <c r="B251" s="274" t="s">
        <v>147</v>
      </c>
      <c r="C251" s="275"/>
      <c r="D251" s="275"/>
      <c r="E251" s="275"/>
      <c r="F251" s="275"/>
      <c r="G251" s="275"/>
      <c r="H251" s="276"/>
      <c r="I251" s="30">
        <f>I245+I239+I233+I227+I221+I214+I208+I202+I196+I190+I184+I178+I172+I166+I160+I154+I148+I142+I136+I130+I124+I118+I112+I106+I100+I94+I88+I82+I76+I70</f>
        <v>359507.18028000003</v>
      </c>
      <c r="J251" s="30">
        <f>J245+J239+J233+J227+J221+J214+J208+J202+J196+J190+J184+J178+J172+J166+J160+J154+J148+J142+J136+J130+J124+J118+J112+J106+J100+J94+J88+J82+J76+J70</f>
        <v>230536.49000000002</v>
      </c>
      <c r="K251" s="30">
        <f t="shared" ref="K251" si="34">K245+K239+K233+K227+K221+K214+K208+K202+K196+K190+K184+K178+K172+K166+K160+K154+K148+K142+K136+K130+K124+K118+K112+K106+K100+K94+K88+K82+K76+K70</f>
        <v>119050.63</v>
      </c>
      <c r="L251" s="30" t="e">
        <f>L245+L239+L233+L227+L214+L208+L202+L196+L190+L178+L172+L166+L160+L154+L148+L124+L106+L100+L94+L82+L76+L70+#REF!</f>
        <v>#REF!</v>
      </c>
      <c r="M251" s="206"/>
      <c r="N251" s="191"/>
      <c r="O251" s="191"/>
      <c r="P251" s="163"/>
      <c r="Q251" s="163"/>
      <c r="R251" s="177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</row>
    <row r="252" spans="1:47" ht="19.5" customHeight="1" x14ac:dyDescent="0.2">
      <c r="A252" s="85">
        <f>A251+1</f>
        <v>242</v>
      </c>
      <c r="B252" s="270" t="s">
        <v>696</v>
      </c>
      <c r="C252" s="271"/>
      <c r="D252" s="271"/>
      <c r="E252" s="271"/>
      <c r="F252" s="271"/>
      <c r="G252" s="271"/>
      <c r="H252" s="271"/>
      <c r="I252" s="271"/>
      <c r="J252" s="271"/>
      <c r="K252" s="271"/>
      <c r="L252" s="272"/>
      <c r="M252" s="178"/>
      <c r="N252" s="192"/>
      <c r="O252" s="192"/>
      <c r="P252" s="199"/>
      <c r="Q252" s="199"/>
      <c r="R252" s="199"/>
    </row>
    <row r="253" spans="1:47" s="14" customFormat="1" ht="178.5" customHeight="1" x14ac:dyDescent="0.2">
      <c r="A253" s="85">
        <f>A252+1</f>
        <v>243</v>
      </c>
      <c r="B253" s="78" t="s">
        <v>148</v>
      </c>
      <c r="C253" s="61"/>
      <c r="D253" s="62" t="s">
        <v>698</v>
      </c>
      <c r="E253" s="109">
        <v>41640</v>
      </c>
      <c r="F253" s="109">
        <v>41640</v>
      </c>
      <c r="G253" s="109">
        <v>42004</v>
      </c>
      <c r="H253" s="108"/>
      <c r="I253" s="64">
        <v>0</v>
      </c>
      <c r="J253" s="64">
        <v>0</v>
      </c>
      <c r="K253" s="64">
        <v>0</v>
      </c>
      <c r="L253" s="64">
        <v>0</v>
      </c>
      <c r="M253" s="137" t="s">
        <v>149</v>
      </c>
      <c r="N253" s="190"/>
      <c r="O253" s="190"/>
      <c r="P253" s="163"/>
      <c r="Q253" s="163"/>
      <c r="R253" s="163" t="s">
        <v>630</v>
      </c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</row>
    <row r="254" spans="1:47" s="14" customFormat="1" ht="85.5" customHeight="1" x14ac:dyDescent="0.2">
      <c r="A254" s="122">
        <f t="shared" ref="A254:A274" si="35">A253+1</f>
        <v>244</v>
      </c>
      <c r="B254" s="73" t="s">
        <v>425</v>
      </c>
      <c r="C254" s="62"/>
      <c r="D254" s="62" t="s">
        <v>698</v>
      </c>
      <c r="E254" s="105">
        <v>41640</v>
      </c>
      <c r="F254" s="172">
        <v>41640</v>
      </c>
      <c r="G254" s="105">
        <v>42004</v>
      </c>
      <c r="H254" s="75"/>
      <c r="I254" s="59">
        <v>0</v>
      </c>
      <c r="J254" s="59">
        <v>0</v>
      </c>
      <c r="K254" s="59">
        <v>0</v>
      </c>
      <c r="L254" s="59">
        <v>0</v>
      </c>
      <c r="M254" s="175" t="s">
        <v>411</v>
      </c>
      <c r="N254" s="191"/>
      <c r="O254" s="191"/>
      <c r="P254" s="163" t="s">
        <v>626</v>
      </c>
      <c r="Q254" s="163"/>
      <c r="R254" s="181" t="s">
        <v>638</v>
      </c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</row>
    <row r="255" spans="1:47" s="14" customFormat="1" ht="82.5" customHeight="1" x14ac:dyDescent="0.2">
      <c r="A255" s="122">
        <f t="shared" si="35"/>
        <v>245</v>
      </c>
      <c r="B255" s="73" t="s">
        <v>356</v>
      </c>
      <c r="C255" s="135"/>
      <c r="D255" s="62" t="s">
        <v>698</v>
      </c>
      <c r="E255" s="131">
        <v>41640</v>
      </c>
      <c r="F255" s="172">
        <v>41640</v>
      </c>
      <c r="G255" s="131">
        <v>42004</v>
      </c>
      <c r="H255" s="108"/>
      <c r="I255" s="37">
        <v>0</v>
      </c>
      <c r="J255" s="37">
        <v>0</v>
      </c>
      <c r="K255" s="37">
        <v>0</v>
      </c>
      <c r="L255" s="37">
        <v>0</v>
      </c>
      <c r="M255" s="175" t="s">
        <v>357</v>
      </c>
      <c r="N255" s="191"/>
      <c r="O255" s="191"/>
      <c r="P255" s="163" t="s">
        <v>626</v>
      </c>
      <c r="Q255" s="163"/>
      <c r="R255" s="159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</row>
    <row r="256" spans="1:47" s="14" customFormat="1" ht="115.5" customHeight="1" x14ac:dyDescent="0.2">
      <c r="A256" s="122">
        <f t="shared" si="35"/>
        <v>246</v>
      </c>
      <c r="B256" s="139" t="s">
        <v>532</v>
      </c>
      <c r="C256" s="17"/>
      <c r="D256" s="120" t="s">
        <v>698</v>
      </c>
      <c r="E256" s="26" t="s">
        <v>8</v>
      </c>
      <c r="F256" s="26" t="s">
        <v>8</v>
      </c>
      <c r="G256" s="27">
        <v>42004</v>
      </c>
      <c r="H256" s="26"/>
      <c r="I256" s="26" t="s">
        <v>8</v>
      </c>
      <c r="J256" s="26" t="s">
        <v>8</v>
      </c>
      <c r="K256" s="26" t="s">
        <v>8</v>
      </c>
      <c r="L256" s="26" t="s">
        <v>8</v>
      </c>
      <c r="M256" s="26" t="s">
        <v>8</v>
      </c>
      <c r="N256" s="191"/>
      <c r="O256" s="191"/>
      <c r="P256" s="163"/>
      <c r="Q256" s="163"/>
      <c r="R256" s="177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</row>
    <row r="257" spans="1:47" s="14" customFormat="1" ht="106.5" customHeight="1" x14ac:dyDescent="0.2">
      <c r="A257" s="122">
        <f t="shared" si="35"/>
        <v>247</v>
      </c>
      <c r="B257" s="52" t="s">
        <v>150</v>
      </c>
      <c r="C257" s="70"/>
      <c r="D257" s="140" t="s">
        <v>698</v>
      </c>
      <c r="E257" s="144">
        <v>41640</v>
      </c>
      <c r="F257" s="172">
        <v>41640</v>
      </c>
      <c r="G257" s="138">
        <v>42735</v>
      </c>
      <c r="H257" s="101"/>
      <c r="I257" s="31">
        <v>0</v>
      </c>
      <c r="J257" s="31">
        <v>0</v>
      </c>
      <c r="K257" s="31">
        <v>0</v>
      </c>
      <c r="L257" s="54">
        <f>L258</f>
        <v>20000</v>
      </c>
      <c r="M257" s="45" t="s">
        <v>151</v>
      </c>
      <c r="N257" s="190"/>
      <c r="O257" s="190"/>
      <c r="P257" s="163"/>
      <c r="Q257" s="163"/>
      <c r="R257" s="163" t="s">
        <v>630</v>
      </c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</row>
    <row r="258" spans="1:47" s="125" customFormat="1" ht="104.25" customHeight="1" x14ac:dyDescent="0.2">
      <c r="A258" s="122">
        <f t="shared" ref="A258:A264" si="36">A257+1</f>
        <v>248</v>
      </c>
      <c r="B258" s="71" t="s">
        <v>428</v>
      </c>
      <c r="C258" s="71"/>
      <c r="D258" s="140" t="s">
        <v>698</v>
      </c>
      <c r="E258" s="105">
        <v>42370</v>
      </c>
      <c r="F258" s="172">
        <v>42370</v>
      </c>
      <c r="G258" s="105">
        <v>42735</v>
      </c>
      <c r="H258" s="101"/>
      <c r="I258" s="24">
        <v>0</v>
      </c>
      <c r="J258" s="24">
        <v>0</v>
      </c>
      <c r="K258" s="24">
        <v>0</v>
      </c>
      <c r="L258" s="63">
        <f>20000000/1000</f>
        <v>20000</v>
      </c>
      <c r="M258" s="166" t="s">
        <v>152</v>
      </c>
      <c r="N258" s="191"/>
      <c r="O258" s="191"/>
      <c r="P258" s="163" t="s">
        <v>626</v>
      </c>
      <c r="Q258" s="163"/>
      <c r="R258" s="181" t="s">
        <v>638</v>
      </c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7" s="14" customFormat="1" ht="98.25" customHeight="1" x14ac:dyDescent="0.2">
      <c r="A259" s="122">
        <f t="shared" si="36"/>
        <v>249</v>
      </c>
      <c r="B259" s="72" t="s">
        <v>153</v>
      </c>
      <c r="C259" s="72"/>
      <c r="D259" s="140" t="s">
        <v>698</v>
      </c>
      <c r="E259" s="144">
        <v>41640</v>
      </c>
      <c r="F259" s="172">
        <v>41640</v>
      </c>
      <c r="G259" s="105">
        <v>42735</v>
      </c>
      <c r="H259" s="75"/>
      <c r="I259" s="59">
        <v>0</v>
      </c>
      <c r="J259" s="59">
        <v>0</v>
      </c>
      <c r="K259" s="59">
        <v>0</v>
      </c>
      <c r="L259" s="59">
        <v>0</v>
      </c>
      <c r="M259" s="164" t="s">
        <v>154</v>
      </c>
      <c r="N259" s="191"/>
      <c r="O259" s="191"/>
      <c r="P259" s="163" t="s">
        <v>626</v>
      </c>
      <c r="Q259" s="163"/>
      <c r="R259" s="181" t="s">
        <v>637</v>
      </c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</row>
    <row r="260" spans="1:47" s="14" customFormat="1" ht="104.25" customHeight="1" x14ac:dyDescent="0.2">
      <c r="A260" s="122">
        <f t="shared" si="36"/>
        <v>250</v>
      </c>
      <c r="B260" s="139" t="s">
        <v>533</v>
      </c>
      <c r="C260" s="17"/>
      <c r="D260" s="139" t="s">
        <v>698</v>
      </c>
      <c r="E260" s="48" t="s">
        <v>8</v>
      </c>
      <c r="F260" s="48" t="s">
        <v>8</v>
      </c>
      <c r="G260" s="49">
        <v>42004</v>
      </c>
      <c r="H260" s="48"/>
      <c r="I260" s="48" t="s">
        <v>8</v>
      </c>
      <c r="J260" s="48" t="s">
        <v>8</v>
      </c>
      <c r="K260" s="48" t="s">
        <v>8</v>
      </c>
      <c r="L260" s="48" t="s">
        <v>8</v>
      </c>
      <c r="M260" s="48" t="s">
        <v>8</v>
      </c>
      <c r="N260" s="197"/>
      <c r="O260" s="197"/>
      <c r="P260" s="163"/>
      <c r="Q260" s="163"/>
      <c r="R260" s="177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</row>
    <row r="261" spans="1:47" s="14" customFormat="1" ht="111.75" customHeight="1" x14ac:dyDescent="0.2">
      <c r="A261" s="136">
        <f t="shared" si="36"/>
        <v>251</v>
      </c>
      <c r="B261" s="139" t="s">
        <v>534</v>
      </c>
      <c r="C261" s="17"/>
      <c r="D261" s="139" t="s">
        <v>698</v>
      </c>
      <c r="E261" s="48" t="s">
        <v>8</v>
      </c>
      <c r="F261" s="48" t="s">
        <v>8</v>
      </c>
      <c r="G261" s="49">
        <v>42369</v>
      </c>
      <c r="H261" s="48"/>
      <c r="I261" s="48" t="s">
        <v>8</v>
      </c>
      <c r="J261" s="48" t="s">
        <v>8</v>
      </c>
      <c r="K261" s="48" t="s">
        <v>8</v>
      </c>
      <c r="L261" s="48" t="s">
        <v>8</v>
      </c>
      <c r="M261" s="48" t="s">
        <v>8</v>
      </c>
      <c r="N261" s="197"/>
      <c r="O261" s="197"/>
      <c r="P261" s="163"/>
      <c r="Q261" s="163"/>
      <c r="R261" s="177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</row>
    <row r="262" spans="1:47" s="11" customFormat="1" ht="106.5" customHeight="1" x14ac:dyDescent="0.2">
      <c r="A262" s="136">
        <f t="shared" si="36"/>
        <v>252</v>
      </c>
      <c r="B262" s="139" t="s">
        <v>535</v>
      </c>
      <c r="C262" s="17"/>
      <c r="D262" s="139" t="s">
        <v>698</v>
      </c>
      <c r="E262" s="48" t="s">
        <v>8</v>
      </c>
      <c r="F262" s="48" t="s">
        <v>8</v>
      </c>
      <c r="G262" s="49">
        <v>42735</v>
      </c>
      <c r="H262" s="48"/>
      <c r="I262" s="48" t="s">
        <v>8</v>
      </c>
      <c r="J262" s="48" t="s">
        <v>8</v>
      </c>
      <c r="K262" s="48" t="s">
        <v>8</v>
      </c>
      <c r="L262" s="48" t="s">
        <v>8</v>
      </c>
      <c r="M262" s="48" t="s">
        <v>8</v>
      </c>
      <c r="N262" s="197"/>
      <c r="O262" s="197"/>
      <c r="P262" s="163"/>
      <c r="Q262" s="163"/>
      <c r="R262" s="177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40"/>
      <c r="AO262" s="40"/>
      <c r="AP262" s="40"/>
      <c r="AQ262" s="40"/>
      <c r="AR262" s="40"/>
      <c r="AS262" s="40"/>
      <c r="AT262" s="40"/>
      <c r="AU262" s="40"/>
    </row>
    <row r="263" spans="1:47" ht="94.5" x14ac:dyDescent="0.2">
      <c r="A263" s="136">
        <f t="shared" si="36"/>
        <v>253</v>
      </c>
      <c r="B263" s="52" t="s">
        <v>155</v>
      </c>
      <c r="C263" s="72"/>
      <c r="D263" s="135" t="s">
        <v>698</v>
      </c>
      <c r="E263" s="109">
        <v>41640</v>
      </c>
      <c r="F263" s="109">
        <v>41640</v>
      </c>
      <c r="G263" s="109">
        <v>42735</v>
      </c>
      <c r="H263" s="111"/>
      <c r="I263" s="59">
        <v>0</v>
      </c>
      <c r="J263" s="59">
        <v>0</v>
      </c>
      <c r="K263" s="59">
        <v>0</v>
      </c>
      <c r="L263" s="59">
        <v>0</v>
      </c>
      <c r="M263" s="171" t="s">
        <v>156</v>
      </c>
      <c r="N263" s="190"/>
      <c r="O263" s="190"/>
      <c r="P263" s="163"/>
      <c r="Q263" s="163"/>
      <c r="R263" s="163" t="s">
        <v>636</v>
      </c>
    </row>
    <row r="264" spans="1:47" ht="99" customHeight="1" x14ac:dyDescent="0.2">
      <c r="A264" s="122">
        <f t="shared" si="36"/>
        <v>254</v>
      </c>
      <c r="B264" s="72" t="s">
        <v>157</v>
      </c>
      <c r="C264" s="72"/>
      <c r="D264" s="135" t="s">
        <v>698</v>
      </c>
      <c r="E264" s="105">
        <v>41640</v>
      </c>
      <c r="F264" s="172">
        <v>41640</v>
      </c>
      <c r="G264" s="105">
        <v>42735</v>
      </c>
      <c r="H264" s="111"/>
      <c r="I264" s="59">
        <v>0</v>
      </c>
      <c r="J264" s="59">
        <v>0</v>
      </c>
      <c r="K264" s="59">
        <v>0</v>
      </c>
      <c r="L264" s="59">
        <v>0</v>
      </c>
      <c r="M264" s="175" t="s">
        <v>410</v>
      </c>
      <c r="N264" s="191"/>
      <c r="O264" s="191"/>
      <c r="P264" s="163"/>
      <c r="Q264" s="163"/>
      <c r="R264" s="177"/>
    </row>
    <row r="265" spans="1:47" ht="96.75" customHeight="1" x14ac:dyDescent="0.2">
      <c r="A265" s="122">
        <f t="shared" si="35"/>
        <v>255</v>
      </c>
      <c r="B265" s="73" t="s">
        <v>320</v>
      </c>
      <c r="C265" s="73"/>
      <c r="D265" s="135" t="s">
        <v>698</v>
      </c>
      <c r="E265" s="131">
        <v>41640</v>
      </c>
      <c r="F265" s="172">
        <v>41640</v>
      </c>
      <c r="G265" s="131">
        <v>42735</v>
      </c>
      <c r="H265" s="108"/>
      <c r="I265" s="37">
        <v>0</v>
      </c>
      <c r="J265" s="37">
        <v>0</v>
      </c>
      <c r="K265" s="37">
        <v>0</v>
      </c>
      <c r="L265" s="37">
        <v>0</v>
      </c>
      <c r="M265" s="175" t="s">
        <v>358</v>
      </c>
      <c r="N265" s="191"/>
      <c r="O265" s="191"/>
      <c r="P265" s="163"/>
      <c r="Q265" s="163"/>
      <c r="R265" s="177"/>
    </row>
    <row r="266" spans="1:47" ht="100.5" customHeight="1" x14ac:dyDescent="0.2">
      <c r="A266" s="122">
        <f t="shared" si="35"/>
        <v>256</v>
      </c>
      <c r="B266" s="120" t="s">
        <v>536</v>
      </c>
      <c r="C266" s="17"/>
      <c r="D266" s="139" t="s">
        <v>698</v>
      </c>
      <c r="E266" s="48" t="s">
        <v>8</v>
      </c>
      <c r="F266" s="48" t="s">
        <v>8</v>
      </c>
      <c r="G266" s="49">
        <v>42004</v>
      </c>
      <c r="H266" s="48"/>
      <c r="I266" s="48" t="s">
        <v>8</v>
      </c>
      <c r="J266" s="48" t="s">
        <v>8</v>
      </c>
      <c r="K266" s="48" t="s">
        <v>8</v>
      </c>
      <c r="L266" s="48" t="s">
        <v>8</v>
      </c>
      <c r="M266" s="48" t="s">
        <v>8</v>
      </c>
      <c r="N266" s="197"/>
      <c r="O266" s="197"/>
      <c r="P266" s="163"/>
      <c r="Q266" s="163"/>
      <c r="R266" s="177"/>
    </row>
    <row r="267" spans="1:47" ht="103.5" customHeight="1" x14ac:dyDescent="0.2">
      <c r="A267" s="122">
        <f t="shared" si="35"/>
        <v>257</v>
      </c>
      <c r="B267" s="120" t="s">
        <v>537</v>
      </c>
      <c r="C267" s="17"/>
      <c r="D267" s="139" t="s">
        <v>698</v>
      </c>
      <c r="E267" s="48" t="s">
        <v>8</v>
      </c>
      <c r="F267" s="48" t="s">
        <v>8</v>
      </c>
      <c r="G267" s="49">
        <v>42369</v>
      </c>
      <c r="H267" s="48"/>
      <c r="I267" s="48" t="s">
        <v>8</v>
      </c>
      <c r="J267" s="48" t="s">
        <v>8</v>
      </c>
      <c r="K267" s="48" t="s">
        <v>8</v>
      </c>
      <c r="L267" s="48" t="s">
        <v>8</v>
      </c>
      <c r="M267" s="48" t="s">
        <v>8</v>
      </c>
      <c r="N267" s="197"/>
      <c r="O267" s="197"/>
      <c r="P267" s="163"/>
      <c r="Q267" s="163"/>
      <c r="R267" s="177"/>
    </row>
    <row r="268" spans="1:47" ht="103.5" customHeight="1" x14ac:dyDescent="0.2">
      <c r="A268" s="122">
        <f t="shared" si="35"/>
        <v>258</v>
      </c>
      <c r="B268" s="120" t="s">
        <v>538</v>
      </c>
      <c r="C268" s="17"/>
      <c r="D268" s="139" t="s">
        <v>698</v>
      </c>
      <c r="E268" s="48" t="s">
        <v>8</v>
      </c>
      <c r="F268" s="48" t="s">
        <v>8</v>
      </c>
      <c r="G268" s="49">
        <v>42735</v>
      </c>
      <c r="H268" s="48"/>
      <c r="I268" s="48" t="s">
        <v>8</v>
      </c>
      <c r="J268" s="48" t="s">
        <v>8</v>
      </c>
      <c r="K268" s="48" t="s">
        <v>8</v>
      </c>
      <c r="L268" s="48" t="s">
        <v>8</v>
      </c>
      <c r="M268" s="48" t="s">
        <v>8</v>
      </c>
      <c r="N268" s="197"/>
      <c r="O268" s="197"/>
      <c r="P268" s="163"/>
      <c r="Q268" s="163"/>
      <c r="R268" s="177"/>
    </row>
    <row r="269" spans="1:47" ht="126" x14ac:dyDescent="0.2">
      <c r="A269" s="122">
        <f>A268+1</f>
        <v>259</v>
      </c>
      <c r="B269" s="78" t="s">
        <v>158</v>
      </c>
      <c r="C269" s="77"/>
      <c r="D269" s="62" t="s">
        <v>700</v>
      </c>
      <c r="E269" s="79">
        <v>41640</v>
      </c>
      <c r="F269" s="165">
        <v>41640</v>
      </c>
      <c r="G269" s="79">
        <v>42735</v>
      </c>
      <c r="H269" s="101"/>
      <c r="I269" s="54">
        <f>I270+I271+I272+I273</f>
        <v>108446.45909</v>
      </c>
      <c r="J269" s="54">
        <f t="shared" ref="J269:K269" si="37">J270+J271+J272+J273</f>
        <v>76902.22</v>
      </c>
      <c r="K269" s="54">
        <f t="shared" si="37"/>
        <v>73179.989999999991</v>
      </c>
      <c r="L269" s="54">
        <f>L270+L273</f>
        <v>109986.97235</v>
      </c>
      <c r="M269" s="171" t="s">
        <v>159</v>
      </c>
      <c r="N269" s="190"/>
      <c r="O269" s="190"/>
      <c r="P269" s="163"/>
      <c r="Q269" s="163"/>
      <c r="R269" s="163" t="s">
        <v>630</v>
      </c>
    </row>
    <row r="270" spans="1:47" s="14" customFormat="1" ht="94.5" x14ac:dyDescent="0.2">
      <c r="A270" s="122">
        <f t="shared" si="35"/>
        <v>260</v>
      </c>
      <c r="B270" s="72" t="s">
        <v>426</v>
      </c>
      <c r="C270" s="72"/>
      <c r="D270" s="62" t="s">
        <v>700</v>
      </c>
      <c r="E270" s="79">
        <v>41640</v>
      </c>
      <c r="F270" s="165">
        <v>41640</v>
      </c>
      <c r="G270" s="79">
        <v>42735</v>
      </c>
      <c r="H270" s="101"/>
      <c r="I270" s="63">
        <f>88834734.69/1000</f>
        <v>88834.734689999997</v>
      </c>
      <c r="J270" s="63">
        <v>68390.5</v>
      </c>
      <c r="K270" s="63">
        <v>70661.37</v>
      </c>
      <c r="L270" s="63">
        <f>104986972.35/1000</f>
        <v>104986.97235</v>
      </c>
      <c r="M270" s="164" t="s">
        <v>160</v>
      </c>
      <c r="N270" s="191"/>
      <c r="O270" s="191"/>
      <c r="P270" s="163" t="s">
        <v>626</v>
      </c>
      <c r="Q270" s="163" t="s">
        <v>650</v>
      </c>
      <c r="R270" s="180" t="s">
        <v>658</v>
      </c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</row>
    <row r="271" spans="1:47" s="40" customFormat="1" ht="94.5" x14ac:dyDescent="0.2">
      <c r="A271" s="122">
        <f t="shared" si="35"/>
        <v>261</v>
      </c>
      <c r="B271" s="71" t="s">
        <v>161</v>
      </c>
      <c r="C271" s="71"/>
      <c r="D271" s="62" t="s">
        <v>700</v>
      </c>
      <c r="E271" s="80">
        <v>41640</v>
      </c>
      <c r="F271" s="80">
        <v>41640</v>
      </c>
      <c r="G271" s="80">
        <v>42004</v>
      </c>
      <c r="H271" s="101"/>
      <c r="I271" s="63">
        <f>1111724.4/1000</f>
        <v>1111.7243999999998</v>
      </c>
      <c r="J271" s="63">
        <v>1111.72</v>
      </c>
      <c r="K271" s="63">
        <v>0</v>
      </c>
      <c r="L271" s="63">
        <v>0</v>
      </c>
      <c r="M271" s="175" t="s">
        <v>270</v>
      </c>
      <c r="N271" s="191"/>
      <c r="O271" s="191"/>
      <c r="P271" s="163" t="s">
        <v>626</v>
      </c>
      <c r="Q271" s="163" t="s">
        <v>627</v>
      </c>
      <c r="R271" s="180" t="s">
        <v>658</v>
      </c>
    </row>
    <row r="272" spans="1:47" s="40" customFormat="1" ht="105" customHeight="1" x14ac:dyDescent="0.2">
      <c r="A272" s="122">
        <f t="shared" si="35"/>
        <v>262</v>
      </c>
      <c r="B272" s="71" t="s">
        <v>162</v>
      </c>
      <c r="C272" s="71"/>
      <c r="D272" s="62" t="s">
        <v>700</v>
      </c>
      <c r="E272" s="80">
        <v>41640</v>
      </c>
      <c r="F272" s="80">
        <v>41640</v>
      </c>
      <c r="G272" s="80">
        <v>42004</v>
      </c>
      <c r="H272" s="101"/>
      <c r="I272" s="63">
        <f>12500000/1000</f>
        <v>12500</v>
      </c>
      <c r="J272" s="63">
        <v>5000</v>
      </c>
      <c r="K272" s="63">
        <v>141.91999999999999</v>
      </c>
      <c r="L272" s="63">
        <v>0</v>
      </c>
      <c r="M272" s="166" t="s">
        <v>163</v>
      </c>
      <c r="N272" s="191"/>
      <c r="O272" s="191"/>
      <c r="P272" s="163" t="s">
        <v>626</v>
      </c>
      <c r="Q272" s="163" t="s">
        <v>627</v>
      </c>
      <c r="R272" s="181" t="s">
        <v>659</v>
      </c>
    </row>
    <row r="273" spans="1:47" s="40" customFormat="1" ht="94.5" x14ac:dyDescent="0.2">
      <c r="A273" s="122">
        <f t="shared" si="35"/>
        <v>263</v>
      </c>
      <c r="B273" s="71" t="s">
        <v>164</v>
      </c>
      <c r="C273" s="71"/>
      <c r="D273" s="62" t="s">
        <v>700</v>
      </c>
      <c r="E273" s="80">
        <v>41640</v>
      </c>
      <c r="F273" s="80">
        <v>41640</v>
      </c>
      <c r="G273" s="80">
        <v>42735</v>
      </c>
      <c r="H273" s="101"/>
      <c r="I273" s="63">
        <f>6000000/1000</f>
        <v>6000</v>
      </c>
      <c r="J273" s="63">
        <v>2400</v>
      </c>
      <c r="K273" s="63">
        <v>2376.6999999999998</v>
      </c>
      <c r="L273" s="63">
        <f>5000000/1000</f>
        <v>5000</v>
      </c>
      <c r="M273" s="175" t="s">
        <v>263</v>
      </c>
      <c r="N273" s="191"/>
      <c r="O273" s="191"/>
      <c r="P273" s="163" t="s">
        <v>626</v>
      </c>
      <c r="Q273" s="163" t="s">
        <v>627</v>
      </c>
      <c r="R273" s="180" t="s">
        <v>658</v>
      </c>
    </row>
    <row r="274" spans="1:47" s="5" customFormat="1" ht="94.5" x14ac:dyDescent="0.2">
      <c r="A274" s="122">
        <f t="shared" si="35"/>
        <v>264</v>
      </c>
      <c r="B274" s="139" t="s">
        <v>539</v>
      </c>
      <c r="C274" s="17"/>
      <c r="D274" s="107" t="s">
        <v>700</v>
      </c>
      <c r="E274" s="26" t="s">
        <v>8</v>
      </c>
      <c r="F274" s="26" t="s">
        <v>8</v>
      </c>
      <c r="G274" s="27">
        <v>42004</v>
      </c>
      <c r="H274" s="26"/>
      <c r="I274" s="26" t="s">
        <v>8</v>
      </c>
      <c r="J274" s="26" t="s">
        <v>8</v>
      </c>
      <c r="K274" s="26" t="s">
        <v>8</v>
      </c>
      <c r="L274" s="26" t="s">
        <v>8</v>
      </c>
      <c r="M274" s="26" t="s">
        <v>8</v>
      </c>
      <c r="N274" s="191"/>
      <c r="O274" s="191"/>
      <c r="P274" s="163"/>
      <c r="Q274" s="163"/>
      <c r="R274" s="177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7" s="5" customFormat="1" ht="94.5" x14ac:dyDescent="0.2">
      <c r="A275" s="122">
        <f t="shared" ref="A275:A294" si="38">A274+1</f>
        <v>265</v>
      </c>
      <c r="B275" s="139" t="s">
        <v>540</v>
      </c>
      <c r="C275" s="17"/>
      <c r="D275" s="107" t="s">
        <v>700</v>
      </c>
      <c r="E275" s="26" t="s">
        <v>8</v>
      </c>
      <c r="F275" s="26" t="s">
        <v>8</v>
      </c>
      <c r="G275" s="27">
        <v>42369</v>
      </c>
      <c r="H275" s="26"/>
      <c r="I275" s="26" t="s">
        <v>8</v>
      </c>
      <c r="J275" s="26" t="s">
        <v>8</v>
      </c>
      <c r="K275" s="26" t="s">
        <v>8</v>
      </c>
      <c r="L275" s="26" t="s">
        <v>8</v>
      </c>
      <c r="M275" s="26" t="s">
        <v>8</v>
      </c>
      <c r="N275" s="191"/>
      <c r="O275" s="191"/>
      <c r="P275" s="163"/>
      <c r="Q275" s="163"/>
      <c r="R275" s="177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7" s="5" customFormat="1" ht="94.5" x14ac:dyDescent="0.2">
      <c r="A276" s="122">
        <f t="shared" si="38"/>
        <v>266</v>
      </c>
      <c r="B276" s="139" t="s">
        <v>541</v>
      </c>
      <c r="C276" s="17" t="s">
        <v>13</v>
      </c>
      <c r="D276" s="107" t="s">
        <v>700</v>
      </c>
      <c r="E276" s="26" t="s">
        <v>8</v>
      </c>
      <c r="F276" s="26" t="s">
        <v>8</v>
      </c>
      <c r="G276" s="27">
        <v>42735</v>
      </c>
      <c r="H276" s="26"/>
      <c r="I276" s="26" t="s">
        <v>8</v>
      </c>
      <c r="J276" s="26" t="s">
        <v>8</v>
      </c>
      <c r="K276" s="26" t="s">
        <v>8</v>
      </c>
      <c r="L276" s="26" t="s">
        <v>8</v>
      </c>
      <c r="M276" s="26" t="s">
        <v>8</v>
      </c>
      <c r="N276" s="191"/>
      <c r="O276" s="191"/>
      <c r="P276" s="163"/>
      <c r="Q276" s="163"/>
      <c r="R276" s="177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7" s="11" customFormat="1" ht="115.5" customHeight="1" x14ac:dyDescent="0.2">
      <c r="A277" s="122">
        <f t="shared" si="38"/>
        <v>267</v>
      </c>
      <c r="B277" s="78" t="s">
        <v>165</v>
      </c>
      <c r="C277" s="78"/>
      <c r="D277" s="62" t="s">
        <v>700</v>
      </c>
      <c r="E277" s="79">
        <v>41640</v>
      </c>
      <c r="F277" s="165">
        <v>41640</v>
      </c>
      <c r="G277" s="79">
        <v>42735</v>
      </c>
      <c r="H277" s="101"/>
      <c r="I277" s="54">
        <f>I278+I279</f>
        <v>15296.076000000001</v>
      </c>
      <c r="J277" s="54">
        <f t="shared" ref="J277:K277" si="39">J278+J279</f>
        <v>7622.28</v>
      </c>
      <c r="K277" s="54">
        <f t="shared" si="39"/>
        <v>0</v>
      </c>
      <c r="L277" s="54">
        <f>L278</f>
        <v>2815.3780000000002</v>
      </c>
      <c r="M277" s="171" t="s">
        <v>166</v>
      </c>
      <c r="N277" s="190"/>
      <c r="O277" s="190"/>
      <c r="P277" s="163"/>
      <c r="Q277" s="163"/>
      <c r="R277" s="163" t="s">
        <v>630</v>
      </c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40"/>
      <c r="AO277" s="40"/>
      <c r="AP277" s="40"/>
      <c r="AQ277" s="40"/>
      <c r="AR277" s="40"/>
      <c r="AS277" s="40"/>
      <c r="AT277" s="40"/>
      <c r="AU277" s="40"/>
    </row>
    <row r="278" spans="1:47" s="11" customFormat="1" ht="109.5" customHeight="1" x14ac:dyDescent="0.2">
      <c r="A278" s="122">
        <f t="shared" si="38"/>
        <v>268</v>
      </c>
      <c r="B278" s="72" t="s">
        <v>429</v>
      </c>
      <c r="C278" s="72"/>
      <c r="D278" s="62" t="s">
        <v>700</v>
      </c>
      <c r="E278" s="79">
        <v>41640</v>
      </c>
      <c r="F278" s="165">
        <v>41640</v>
      </c>
      <c r="G278" s="79">
        <v>42735</v>
      </c>
      <c r="H278" s="101"/>
      <c r="I278" s="63">
        <f>4115378/1000</f>
        <v>4115.3779999999997</v>
      </c>
      <c r="J278" s="63">
        <v>3150</v>
      </c>
      <c r="K278" s="63">
        <v>0</v>
      </c>
      <c r="L278" s="63">
        <f>2815378/1000</f>
        <v>2815.3780000000002</v>
      </c>
      <c r="M278" s="164" t="s">
        <v>167</v>
      </c>
      <c r="N278" s="191"/>
      <c r="O278" s="191"/>
      <c r="P278" s="163" t="s">
        <v>626</v>
      </c>
      <c r="Q278" s="163" t="s">
        <v>650</v>
      </c>
      <c r="R278" s="181" t="s">
        <v>660</v>
      </c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40"/>
      <c r="AO278" s="40"/>
      <c r="AP278" s="40"/>
      <c r="AQ278" s="40"/>
      <c r="AR278" s="40"/>
      <c r="AS278" s="40"/>
      <c r="AT278" s="40"/>
      <c r="AU278" s="40"/>
    </row>
    <row r="279" spans="1:47" ht="96.75" customHeight="1" x14ac:dyDescent="0.2">
      <c r="A279" s="122">
        <f t="shared" si="38"/>
        <v>269</v>
      </c>
      <c r="B279" s="71" t="s">
        <v>168</v>
      </c>
      <c r="C279" s="71"/>
      <c r="D279" s="62" t="s">
        <v>700</v>
      </c>
      <c r="E279" s="80">
        <v>41640</v>
      </c>
      <c r="F279" s="80">
        <v>41640</v>
      </c>
      <c r="G279" s="80">
        <v>42004</v>
      </c>
      <c r="H279" s="101"/>
      <c r="I279" s="63">
        <f>11180698/1000</f>
        <v>11180.698</v>
      </c>
      <c r="J279" s="63">
        <v>4472.28</v>
      </c>
      <c r="K279" s="63">
        <v>0</v>
      </c>
      <c r="L279" s="63">
        <v>0</v>
      </c>
      <c r="M279" s="166" t="s">
        <v>169</v>
      </c>
      <c r="N279" s="191"/>
      <c r="O279" s="191"/>
      <c r="P279" s="163" t="s">
        <v>626</v>
      </c>
      <c r="Q279" s="163" t="s">
        <v>627</v>
      </c>
      <c r="R279" s="181" t="s">
        <v>661</v>
      </c>
    </row>
    <row r="280" spans="1:47" s="11" customFormat="1" ht="102" customHeight="1" x14ac:dyDescent="0.2">
      <c r="A280" s="122">
        <f t="shared" si="38"/>
        <v>270</v>
      </c>
      <c r="B280" s="81" t="s">
        <v>542</v>
      </c>
      <c r="C280" s="17"/>
      <c r="D280" s="107" t="s">
        <v>700</v>
      </c>
      <c r="E280" s="26" t="s">
        <v>8</v>
      </c>
      <c r="F280" s="26" t="s">
        <v>8</v>
      </c>
      <c r="G280" s="27">
        <v>42004</v>
      </c>
      <c r="H280" s="26"/>
      <c r="I280" s="26" t="s">
        <v>8</v>
      </c>
      <c r="J280" s="26" t="s">
        <v>8</v>
      </c>
      <c r="K280" s="26" t="s">
        <v>8</v>
      </c>
      <c r="L280" s="26" t="s">
        <v>8</v>
      </c>
      <c r="M280" s="26" t="s">
        <v>8</v>
      </c>
      <c r="N280" s="191"/>
      <c r="O280" s="191"/>
      <c r="P280" s="163"/>
      <c r="Q280" s="163"/>
      <c r="R280" s="177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40"/>
      <c r="AO280" s="40"/>
      <c r="AP280" s="40"/>
      <c r="AQ280" s="40"/>
      <c r="AR280" s="40"/>
      <c r="AS280" s="40"/>
      <c r="AT280" s="40"/>
      <c r="AU280" s="40"/>
    </row>
    <row r="281" spans="1:47" ht="103.5" customHeight="1" x14ac:dyDescent="0.2">
      <c r="A281" s="122">
        <f t="shared" si="38"/>
        <v>271</v>
      </c>
      <c r="B281" s="81" t="s">
        <v>543</v>
      </c>
      <c r="C281" s="17"/>
      <c r="D281" s="107" t="s">
        <v>700</v>
      </c>
      <c r="E281" s="26" t="s">
        <v>8</v>
      </c>
      <c r="F281" s="26" t="s">
        <v>8</v>
      </c>
      <c r="G281" s="27">
        <v>42369</v>
      </c>
      <c r="H281" s="26"/>
      <c r="I281" s="26" t="s">
        <v>8</v>
      </c>
      <c r="J281" s="26" t="s">
        <v>8</v>
      </c>
      <c r="K281" s="26" t="s">
        <v>8</v>
      </c>
      <c r="L281" s="26" t="s">
        <v>8</v>
      </c>
      <c r="M281" s="26" t="s">
        <v>8</v>
      </c>
      <c r="N281" s="191"/>
      <c r="O281" s="191"/>
      <c r="P281" s="163"/>
      <c r="Q281" s="163"/>
      <c r="R281" s="177"/>
    </row>
    <row r="282" spans="1:47" s="20" customFormat="1" ht="114" customHeight="1" x14ac:dyDescent="0.2">
      <c r="A282" s="122">
        <f t="shared" si="38"/>
        <v>272</v>
      </c>
      <c r="B282" s="81" t="s">
        <v>544</v>
      </c>
      <c r="C282" s="17"/>
      <c r="D282" s="107" t="s">
        <v>700</v>
      </c>
      <c r="E282" s="26" t="s">
        <v>8</v>
      </c>
      <c r="F282" s="26" t="s">
        <v>8</v>
      </c>
      <c r="G282" s="27">
        <v>42735</v>
      </c>
      <c r="H282" s="26"/>
      <c r="I282" s="26" t="s">
        <v>8</v>
      </c>
      <c r="J282" s="26" t="s">
        <v>8</v>
      </c>
      <c r="K282" s="26" t="s">
        <v>8</v>
      </c>
      <c r="L282" s="26" t="s">
        <v>8</v>
      </c>
      <c r="M282" s="26" t="s">
        <v>8</v>
      </c>
      <c r="N282" s="191"/>
      <c r="O282" s="191"/>
      <c r="P282" s="163"/>
      <c r="Q282" s="163"/>
      <c r="R282" s="177"/>
    </row>
    <row r="283" spans="1:47" s="14" customFormat="1" ht="126" x14ac:dyDescent="0.2">
      <c r="A283" s="122">
        <f t="shared" si="38"/>
        <v>273</v>
      </c>
      <c r="B283" s="78" t="s">
        <v>170</v>
      </c>
      <c r="C283" s="78"/>
      <c r="D283" s="62" t="s">
        <v>700</v>
      </c>
      <c r="E283" s="79">
        <v>41640</v>
      </c>
      <c r="F283" s="165">
        <v>41640</v>
      </c>
      <c r="G283" s="79">
        <v>42735</v>
      </c>
      <c r="H283" s="101"/>
      <c r="I283" s="54">
        <f>I284</f>
        <v>11245.474839999999</v>
      </c>
      <c r="J283" s="54">
        <f t="shared" ref="J283:K283" si="40">J284</f>
        <v>11245.47</v>
      </c>
      <c r="K283" s="54">
        <f t="shared" si="40"/>
        <v>10612.24</v>
      </c>
      <c r="L283" s="54">
        <f>L284</f>
        <v>13574.00015</v>
      </c>
      <c r="M283" s="171" t="s">
        <v>171</v>
      </c>
      <c r="N283" s="190"/>
      <c r="O283" s="190"/>
      <c r="P283" s="163"/>
      <c r="Q283" s="163"/>
      <c r="R283" s="157" t="s">
        <v>630</v>
      </c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</row>
    <row r="284" spans="1:47" s="14" customFormat="1" ht="131.25" customHeight="1" x14ac:dyDescent="0.2">
      <c r="A284" s="122">
        <f t="shared" si="38"/>
        <v>274</v>
      </c>
      <c r="B284" s="72" t="s">
        <v>430</v>
      </c>
      <c r="C284" s="72"/>
      <c r="D284" s="62" t="s">
        <v>700</v>
      </c>
      <c r="E284" s="79">
        <v>41640</v>
      </c>
      <c r="F284" s="165">
        <v>41670</v>
      </c>
      <c r="G284" s="79">
        <v>42735</v>
      </c>
      <c r="H284" s="101"/>
      <c r="I284" s="63">
        <f>11245474.84/1000</f>
        <v>11245.474839999999</v>
      </c>
      <c r="J284" s="63">
        <v>11245.47</v>
      </c>
      <c r="K284" s="63">
        <v>10612.24</v>
      </c>
      <c r="L284" s="63">
        <f>13574000.15/1000</f>
        <v>13574.00015</v>
      </c>
      <c r="M284" s="164" t="s">
        <v>172</v>
      </c>
      <c r="N284" s="191"/>
      <c r="O284" s="191"/>
      <c r="P284" s="163" t="s">
        <v>626</v>
      </c>
      <c r="Q284" s="163" t="s">
        <v>650</v>
      </c>
      <c r="R284" s="181" t="s">
        <v>662</v>
      </c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</row>
    <row r="285" spans="1:47" s="11" customFormat="1" ht="138" customHeight="1" x14ac:dyDescent="0.2">
      <c r="A285" s="122">
        <f t="shared" si="38"/>
        <v>275</v>
      </c>
      <c r="B285" s="71" t="s">
        <v>173</v>
      </c>
      <c r="C285" s="71"/>
      <c r="D285" s="62" t="s">
        <v>700</v>
      </c>
      <c r="E285" s="80">
        <v>41640</v>
      </c>
      <c r="F285" s="80">
        <v>41640</v>
      </c>
      <c r="G285" s="80">
        <v>42735</v>
      </c>
      <c r="H285" s="53"/>
      <c r="I285" s="24">
        <v>0</v>
      </c>
      <c r="J285" s="24">
        <v>0</v>
      </c>
      <c r="K285" s="24">
        <v>0</v>
      </c>
      <c r="L285" s="24">
        <v>0</v>
      </c>
      <c r="M285" s="166" t="s">
        <v>174</v>
      </c>
      <c r="N285" s="191"/>
      <c r="O285" s="191"/>
      <c r="P285" s="163" t="s">
        <v>626</v>
      </c>
      <c r="Q285" s="163"/>
      <c r="R285" s="181" t="s">
        <v>662</v>
      </c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  <c r="AH285" s="40"/>
      <c r="AI285" s="40"/>
      <c r="AJ285" s="40"/>
      <c r="AK285" s="40"/>
      <c r="AL285" s="40"/>
      <c r="AM285" s="40"/>
      <c r="AN285" s="40"/>
      <c r="AO285" s="40"/>
      <c r="AP285" s="40"/>
      <c r="AQ285" s="40"/>
      <c r="AR285" s="40"/>
      <c r="AS285" s="40"/>
      <c r="AT285" s="40"/>
      <c r="AU285" s="40"/>
    </row>
    <row r="286" spans="1:47" ht="131.25" customHeight="1" x14ac:dyDescent="0.2">
      <c r="A286" s="238">
        <f t="shared" si="38"/>
        <v>276</v>
      </c>
      <c r="B286" s="139" t="s">
        <v>545</v>
      </c>
      <c r="C286" s="17" t="s">
        <v>13</v>
      </c>
      <c r="D286" s="139" t="s">
        <v>700</v>
      </c>
      <c r="E286" s="26" t="s">
        <v>8</v>
      </c>
      <c r="F286" s="26" t="s">
        <v>8</v>
      </c>
      <c r="G286" s="27">
        <v>41912</v>
      </c>
      <c r="H286" s="26" t="s">
        <v>712</v>
      </c>
      <c r="I286" s="26" t="s">
        <v>8</v>
      </c>
      <c r="J286" s="26" t="s">
        <v>8</v>
      </c>
      <c r="K286" s="26" t="s">
        <v>8</v>
      </c>
      <c r="L286" s="26" t="s">
        <v>8</v>
      </c>
      <c r="M286" s="26" t="s">
        <v>8</v>
      </c>
      <c r="N286" s="191"/>
      <c r="O286" s="191"/>
      <c r="P286" s="163"/>
      <c r="Q286" s="163"/>
      <c r="R286" s="177"/>
    </row>
    <row r="287" spans="1:47" s="20" customFormat="1" ht="132.75" customHeight="1" x14ac:dyDescent="0.2">
      <c r="A287" s="122">
        <f t="shared" si="38"/>
        <v>277</v>
      </c>
      <c r="B287" s="139" t="s">
        <v>546</v>
      </c>
      <c r="C287" s="17" t="s">
        <v>13</v>
      </c>
      <c r="D287" s="107" t="s">
        <v>700</v>
      </c>
      <c r="E287" s="26" t="s">
        <v>8</v>
      </c>
      <c r="F287" s="26" t="s">
        <v>8</v>
      </c>
      <c r="G287" s="27">
        <v>42277</v>
      </c>
      <c r="H287" s="26"/>
      <c r="I287" s="26" t="s">
        <v>8</v>
      </c>
      <c r="J287" s="26" t="s">
        <v>8</v>
      </c>
      <c r="K287" s="26" t="s">
        <v>8</v>
      </c>
      <c r="L287" s="26" t="s">
        <v>8</v>
      </c>
      <c r="M287" s="26" t="s">
        <v>8</v>
      </c>
      <c r="N287" s="191"/>
      <c r="O287" s="191"/>
      <c r="P287" s="163"/>
      <c r="Q287" s="163"/>
      <c r="R287" s="177"/>
    </row>
    <row r="288" spans="1:47" s="14" customFormat="1" ht="94.5" x14ac:dyDescent="0.2">
      <c r="A288" s="122">
        <f t="shared" si="38"/>
        <v>278</v>
      </c>
      <c r="B288" s="139" t="s">
        <v>547</v>
      </c>
      <c r="C288" s="17" t="s">
        <v>13</v>
      </c>
      <c r="D288" s="107" t="s">
        <v>700</v>
      </c>
      <c r="E288" s="26" t="s">
        <v>8</v>
      </c>
      <c r="F288" s="26" t="s">
        <v>8</v>
      </c>
      <c r="G288" s="27">
        <v>42643</v>
      </c>
      <c r="H288" s="26"/>
      <c r="I288" s="26" t="s">
        <v>8</v>
      </c>
      <c r="J288" s="26" t="s">
        <v>8</v>
      </c>
      <c r="K288" s="26" t="s">
        <v>8</v>
      </c>
      <c r="L288" s="26" t="s">
        <v>8</v>
      </c>
      <c r="M288" s="26" t="s">
        <v>8</v>
      </c>
      <c r="N288" s="191"/>
      <c r="O288" s="191"/>
      <c r="P288" s="163"/>
      <c r="Q288" s="163"/>
      <c r="R288" s="177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</row>
    <row r="289" spans="1:47" s="14" customFormat="1" ht="130.5" customHeight="1" x14ac:dyDescent="0.2">
      <c r="A289" s="122">
        <f t="shared" si="38"/>
        <v>279</v>
      </c>
      <c r="B289" s="70" t="s">
        <v>175</v>
      </c>
      <c r="C289" s="74"/>
      <c r="D289" s="140" t="s">
        <v>700</v>
      </c>
      <c r="E289" s="80">
        <v>41640</v>
      </c>
      <c r="F289" s="80">
        <v>41640</v>
      </c>
      <c r="G289" s="80">
        <v>42735</v>
      </c>
      <c r="H289" s="101"/>
      <c r="I289" s="23">
        <f>SUM(I290:I294)</f>
        <v>64791.69</v>
      </c>
      <c r="J289" s="23">
        <f>SUM(J290:J294)</f>
        <v>59946.77</v>
      </c>
      <c r="K289" s="23">
        <f t="shared" ref="K289" si="41">SUM(K290:K294)</f>
        <v>14199.17</v>
      </c>
      <c r="L289" s="23">
        <f>SUM(L290:L294)</f>
        <v>62933.72</v>
      </c>
      <c r="M289" s="137" t="s">
        <v>176</v>
      </c>
      <c r="N289" s="190"/>
      <c r="O289" s="190"/>
      <c r="P289" s="163"/>
      <c r="Q289" s="163"/>
      <c r="R289" s="157" t="s">
        <v>630</v>
      </c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</row>
    <row r="290" spans="1:47" s="14" customFormat="1" ht="94.5" x14ac:dyDescent="0.2">
      <c r="A290" s="122">
        <f t="shared" si="38"/>
        <v>280</v>
      </c>
      <c r="B290" s="71" t="s">
        <v>177</v>
      </c>
      <c r="C290" s="71"/>
      <c r="D290" s="140" t="s">
        <v>700</v>
      </c>
      <c r="E290" s="80">
        <v>41640</v>
      </c>
      <c r="F290" s="80">
        <v>41640</v>
      </c>
      <c r="G290" s="80">
        <v>42735</v>
      </c>
      <c r="H290" s="101"/>
      <c r="I290" s="63">
        <v>384</v>
      </c>
      <c r="J290" s="63">
        <v>384</v>
      </c>
      <c r="K290" s="63">
        <v>99.89</v>
      </c>
      <c r="L290" s="63">
        <v>384</v>
      </c>
      <c r="M290" s="175" t="s">
        <v>271</v>
      </c>
      <c r="N290" s="191"/>
      <c r="O290" s="191"/>
      <c r="P290" s="163" t="s">
        <v>626</v>
      </c>
      <c r="Q290" s="163" t="s">
        <v>627</v>
      </c>
      <c r="R290" s="181" t="s">
        <v>662</v>
      </c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</row>
    <row r="291" spans="1:47" s="142" customFormat="1" ht="139.5" customHeight="1" x14ac:dyDescent="0.2">
      <c r="A291" s="122">
        <f t="shared" si="38"/>
        <v>281</v>
      </c>
      <c r="B291" s="71" t="s">
        <v>178</v>
      </c>
      <c r="C291" s="71"/>
      <c r="D291" s="140" t="s">
        <v>700</v>
      </c>
      <c r="E291" s="80">
        <v>41640</v>
      </c>
      <c r="F291" s="80">
        <v>41640</v>
      </c>
      <c r="G291" s="80">
        <v>42735</v>
      </c>
      <c r="H291" s="101"/>
      <c r="I291" s="63">
        <f>100000/1000</f>
        <v>100</v>
      </c>
      <c r="J291" s="63">
        <v>40</v>
      </c>
      <c r="K291" s="63">
        <v>99.54</v>
      </c>
      <c r="L291" s="63">
        <f>100000/1000</f>
        <v>100</v>
      </c>
      <c r="M291" s="175" t="s">
        <v>272</v>
      </c>
      <c r="N291" s="191"/>
      <c r="O291" s="191"/>
      <c r="P291" s="163" t="s">
        <v>626</v>
      </c>
      <c r="Q291" s="163" t="s">
        <v>627</v>
      </c>
      <c r="R291" s="181" t="s">
        <v>662</v>
      </c>
    </row>
    <row r="292" spans="1:47" s="14" customFormat="1" ht="126" x14ac:dyDescent="0.2">
      <c r="A292" s="122">
        <f t="shared" si="38"/>
        <v>282</v>
      </c>
      <c r="B292" s="71" t="s">
        <v>179</v>
      </c>
      <c r="C292" s="71"/>
      <c r="D292" s="140" t="s">
        <v>700</v>
      </c>
      <c r="E292" s="80">
        <v>41640</v>
      </c>
      <c r="F292" s="80">
        <v>41640</v>
      </c>
      <c r="G292" s="80">
        <v>42735</v>
      </c>
      <c r="H292" s="101"/>
      <c r="I292" s="63">
        <f>15800000/1000</f>
        <v>15800</v>
      </c>
      <c r="J292" s="63">
        <v>15800</v>
      </c>
      <c r="K292" s="63">
        <v>13999.74</v>
      </c>
      <c r="L292" s="63">
        <f>15800000/1000</f>
        <v>15800</v>
      </c>
      <c r="M292" s="175" t="s">
        <v>180</v>
      </c>
      <c r="N292" s="191"/>
      <c r="O292" s="191"/>
      <c r="P292" s="163" t="s">
        <v>626</v>
      </c>
      <c r="Q292" s="163" t="s">
        <v>627</v>
      </c>
      <c r="R292" s="181" t="s">
        <v>662</v>
      </c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</row>
    <row r="293" spans="1:47" s="11" customFormat="1" ht="132.75" customHeight="1" x14ac:dyDescent="0.2">
      <c r="A293" s="122">
        <f t="shared" si="38"/>
        <v>283</v>
      </c>
      <c r="B293" s="71" t="s">
        <v>181</v>
      </c>
      <c r="C293" s="71"/>
      <c r="D293" s="140" t="s">
        <v>700</v>
      </c>
      <c r="E293" s="80">
        <v>41640</v>
      </c>
      <c r="F293" s="80">
        <v>41640</v>
      </c>
      <c r="G293" s="102">
        <v>42735</v>
      </c>
      <c r="H293" s="101"/>
      <c r="I293" s="63">
        <v>46607.69</v>
      </c>
      <c r="J293" s="25">
        <v>43193.17</v>
      </c>
      <c r="K293" s="63">
        <v>0</v>
      </c>
      <c r="L293" s="63">
        <v>44749.72</v>
      </c>
      <c r="M293" s="166" t="s">
        <v>182</v>
      </c>
      <c r="N293" s="191"/>
      <c r="O293" s="191"/>
      <c r="P293" s="163" t="s">
        <v>626</v>
      </c>
      <c r="Q293" s="163" t="s">
        <v>627</v>
      </c>
      <c r="R293" s="181" t="s">
        <v>638</v>
      </c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</row>
    <row r="294" spans="1:47" ht="132.75" customHeight="1" x14ac:dyDescent="0.2">
      <c r="A294" s="122">
        <f t="shared" si="38"/>
        <v>284</v>
      </c>
      <c r="B294" s="71" t="s">
        <v>183</v>
      </c>
      <c r="C294" s="71"/>
      <c r="D294" s="140" t="s">
        <v>700</v>
      </c>
      <c r="E294" s="80">
        <v>41640</v>
      </c>
      <c r="F294" s="80">
        <v>41640</v>
      </c>
      <c r="G294" s="80">
        <v>42735</v>
      </c>
      <c r="H294" s="101"/>
      <c r="I294" s="63">
        <v>1900</v>
      </c>
      <c r="J294" s="63">
        <v>529.6</v>
      </c>
      <c r="K294" s="63">
        <v>0</v>
      </c>
      <c r="L294" s="63">
        <v>1900</v>
      </c>
      <c r="M294" s="175" t="s">
        <v>272</v>
      </c>
      <c r="N294" s="191"/>
      <c r="O294" s="191"/>
      <c r="P294" s="163" t="s">
        <v>626</v>
      </c>
      <c r="Q294" s="163" t="s">
        <v>627</v>
      </c>
      <c r="R294" s="181" t="s">
        <v>662</v>
      </c>
    </row>
    <row r="295" spans="1:47" ht="133.5" customHeight="1" x14ac:dyDescent="0.2">
      <c r="A295" s="122">
        <f t="shared" ref="A295:A300" si="42">A294+1</f>
        <v>285</v>
      </c>
      <c r="B295" s="120" t="s">
        <v>548</v>
      </c>
      <c r="C295" s="17"/>
      <c r="D295" s="107" t="s">
        <v>700</v>
      </c>
      <c r="E295" s="26" t="s">
        <v>8</v>
      </c>
      <c r="F295" s="26" t="s">
        <v>8</v>
      </c>
      <c r="G295" s="27">
        <v>42004</v>
      </c>
      <c r="H295" s="26"/>
      <c r="I295" s="26" t="s">
        <v>8</v>
      </c>
      <c r="J295" s="26" t="s">
        <v>8</v>
      </c>
      <c r="K295" s="26" t="s">
        <v>8</v>
      </c>
      <c r="L295" s="26" t="s">
        <v>8</v>
      </c>
      <c r="M295" s="26" t="s">
        <v>8</v>
      </c>
      <c r="N295" s="191"/>
      <c r="O295" s="191"/>
      <c r="P295" s="163"/>
      <c r="Q295" s="163"/>
      <c r="R295" s="177"/>
    </row>
    <row r="296" spans="1:47" s="14" customFormat="1" ht="133.5" customHeight="1" x14ac:dyDescent="0.2">
      <c r="A296" s="122">
        <f t="shared" si="42"/>
        <v>286</v>
      </c>
      <c r="B296" s="81" t="s">
        <v>549</v>
      </c>
      <c r="C296" s="17" t="s">
        <v>13</v>
      </c>
      <c r="D296" s="107" t="s">
        <v>700</v>
      </c>
      <c r="E296" s="26" t="s">
        <v>8</v>
      </c>
      <c r="F296" s="26" t="s">
        <v>8</v>
      </c>
      <c r="G296" s="27">
        <v>42004</v>
      </c>
      <c r="H296" s="26"/>
      <c r="I296" s="26" t="s">
        <v>8</v>
      </c>
      <c r="J296" s="26" t="s">
        <v>8</v>
      </c>
      <c r="K296" s="26" t="s">
        <v>8</v>
      </c>
      <c r="L296" s="26" t="s">
        <v>8</v>
      </c>
      <c r="M296" s="26" t="s">
        <v>8</v>
      </c>
      <c r="N296" s="191"/>
      <c r="O296" s="191"/>
      <c r="P296" s="163"/>
      <c r="Q296" s="163"/>
      <c r="R296" s="177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</row>
    <row r="297" spans="1:47" s="14" customFormat="1" ht="109.5" customHeight="1" x14ac:dyDescent="0.2">
      <c r="A297" s="122">
        <f t="shared" si="42"/>
        <v>287</v>
      </c>
      <c r="B297" s="120" t="s">
        <v>550</v>
      </c>
      <c r="C297" s="17"/>
      <c r="D297" s="107" t="s">
        <v>700</v>
      </c>
      <c r="E297" s="27" t="s">
        <v>8</v>
      </c>
      <c r="F297" s="27" t="s">
        <v>8</v>
      </c>
      <c r="G297" s="27">
        <v>42369</v>
      </c>
      <c r="H297" s="26"/>
      <c r="I297" s="26" t="s">
        <v>8</v>
      </c>
      <c r="J297" s="26" t="s">
        <v>8</v>
      </c>
      <c r="K297" s="26" t="s">
        <v>8</v>
      </c>
      <c r="L297" s="26" t="s">
        <v>8</v>
      </c>
      <c r="M297" s="26" t="s">
        <v>8</v>
      </c>
      <c r="N297" s="191"/>
      <c r="O297" s="191"/>
      <c r="P297" s="163"/>
      <c r="Q297" s="163"/>
      <c r="R297" s="177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</row>
    <row r="298" spans="1:47" s="14" customFormat="1" ht="130.5" customHeight="1" x14ac:dyDescent="0.2">
      <c r="A298" s="136">
        <f t="shared" si="42"/>
        <v>288</v>
      </c>
      <c r="B298" s="139" t="s">
        <v>551</v>
      </c>
      <c r="C298" s="17"/>
      <c r="D298" s="139" t="s">
        <v>700</v>
      </c>
      <c r="E298" s="27" t="s">
        <v>8</v>
      </c>
      <c r="F298" s="27" t="s">
        <v>8</v>
      </c>
      <c r="G298" s="27">
        <v>42369</v>
      </c>
      <c r="H298" s="26"/>
      <c r="I298" s="26" t="s">
        <v>8</v>
      </c>
      <c r="J298" s="26" t="s">
        <v>8</v>
      </c>
      <c r="K298" s="26" t="s">
        <v>8</v>
      </c>
      <c r="L298" s="26" t="s">
        <v>8</v>
      </c>
      <c r="M298" s="26" t="s">
        <v>8</v>
      </c>
      <c r="N298" s="191"/>
      <c r="O298" s="191"/>
      <c r="P298" s="163"/>
      <c r="Q298" s="163"/>
      <c r="R298" s="177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</row>
    <row r="299" spans="1:47" s="11" customFormat="1" ht="94.5" x14ac:dyDescent="0.2">
      <c r="A299" s="136">
        <f t="shared" si="42"/>
        <v>289</v>
      </c>
      <c r="B299" s="120" t="s">
        <v>552</v>
      </c>
      <c r="C299" s="17"/>
      <c r="D299" s="107" t="s">
        <v>700</v>
      </c>
      <c r="E299" s="27" t="s">
        <v>8</v>
      </c>
      <c r="F299" s="27" t="s">
        <v>8</v>
      </c>
      <c r="G299" s="27">
        <v>42735</v>
      </c>
      <c r="H299" s="26"/>
      <c r="I299" s="26" t="s">
        <v>8</v>
      </c>
      <c r="J299" s="26" t="s">
        <v>8</v>
      </c>
      <c r="K299" s="26" t="s">
        <v>8</v>
      </c>
      <c r="L299" s="26" t="s">
        <v>8</v>
      </c>
      <c r="M299" s="26" t="s">
        <v>8</v>
      </c>
      <c r="N299" s="191"/>
      <c r="O299" s="191"/>
      <c r="P299" s="163"/>
      <c r="Q299" s="163"/>
      <c r="R299" s="177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40"/>
      <c r="AO299" s="40"/>
      <c r="AP299" s="40"/>
      <c r="AQ299" s="40"/>
      <c r="AR299" s="40"/>
      <c r="AS299" s="40"/>
      <c r="AT299" s="40"/>
      <c r="AU299" s="40"/>
    </row>
    <row r="300" spans="1:47" ht="136.5" customHeight="1" x14ac:dyDescent="0.2">
      <c r="A300" s="136">
        <f t="shared" si="42"/>
        <v>290</v>
      </c>
      <c r="B300" s="52" t="s">
        <v>184</v>
      </c>
      <c r="C300" s="52"/>
      <c r="D300" s="73" t="s">
        <v>698</v>
      </c>
      <c r="E300" s="69">
        <v>41640</v>
      </c>
      <c r="F300" s="172">
        <v>41640</v>
      </c>
      <c r="G300" s="69">
        <v>42735</v>
      </c>
      <c r="H300" s="101"/>
      <c r="I300" s="54">
        <f>I301</f>
        <v>4788.5600000000004</v>
      </c>
      <c r="J300" s="54">
        <f t="shared" ref="J300:K300" si="43">J301</f>
        <v>4788.5600000000004</v>
      </c>
      <c r="K300" s="54">
        <f t="shared" si="43"/>
        <v>4349.25</v>
      </c>
      <c r="L300" s="54">
        <v>1153.1199999999999</v>
      </c>
      <c r="M300" s="137" t="s">
        <v>185</v>
      </c>
      <c r="N300" s="190"/>
      <c r="O300" s="190"/>
      <c r="P300" s="163"/>
      <c r="Q300" s="163"/>
      <c r="R300" s="157" t="s">
        <v>636</v>
      </c>
    </row>
    <row r="301" spans="1:47" ht="114" customHeight="1" x14ac:dyDescent="0.2">
      <c r="A301" s="122">
        <f t="shared" ref="A301:A306" si="44">A300+1</f>
        <v>291</v>
      </c>
      <c r="B301" s="73" t="s">
        <v>431</v>
      </c>
      <c r="C301" s="52"/>
      <c r="D301" s="73" t="s">
        <v>698</v>
      </c>
      <c r="E301" s="69">
        <v>41640</v>
      </c>
      <c r="F301" s="172">
        <v>41640</v>
      </c>
      <c r="G301" s="69">
        <v>42735</v>
      </c>
      <c r="H301" s="101"/>
      <c r="I301" s="63">
        <v>4788.5600000000004</v>
      </c>
      <c r="J301" s="63">
        <v>4788.5600000000004</v>
      </c>
      <c r="K301" s="63">
        <v>4349.25</v>
      </c>
      <c r="L301" s="63">
        <v>1153.1199999999999</v>
      </c>
      <c r="M301" s="170" t="s">
        <v>408</v>
      </c>
      <c r="N301" s="196"/>
      <c r="O301" s="196"/>
      <c r="P301" s="163" t="s">
        <v>626</v>
      </c>
      <c r="Q301" s="163" t="s">
        <v>650</v>
      </c>
      <c r="R301" s="180" t="s">
        <v>663</v>
      </c>
    </row>
    <row r="302" spans="1:47" s="14" customFormat="1" ht="135" customHeight="1" x14ac:dyDescent="0.2">
      <c r="A302" s="122">
        <f t="shared" si="44"/>
        <v>292</v>
      </c>
      <c r="B302" s="73" t="s">
        <v>432</v>
      </c>
      <c r="C302" s="52"/>
      <c r="D302" s="73" t="s">
        <v>698</v>
      </c>
      <c r="E302" s="88">
        <v>41640</v>
      </c>
      <c r="F302" s="172">
        <v>41640</v>
      </c>
      <c r="G302" s="88">
        <v>42735</v>
      </c>
      <c r="H302" s="86"/>
      <c r="I302" s="63">
        <v>0</v>
      </c>
      <c r="J302" s="63">
        <v>0</v>
      </c>
      <c r="K302" s="63">
        <v>0</v>
      </c>
      <c r="L302" s="63">
        <v>0</v>
      </c>
      <c r="M302" s="175" t="s">
        <v>359</v>
      </c>
      <c r="N302" s="191"/>
      <c r="O302" s="191"/>
      <c r="P302" s="163" t="s">
        <v>626</v>
      </c>
      <c r="Q302" s="163" t="s">
        <v>650</v>
      </c>
      <c r="R302" s="177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</row>
    <row r="303" spans="1:47" s="14" customFormat="1" ht="126" x14ac:dyDescent="0.2">
      <c r="A303" s="122">
        <f t="shared" si="44"/>
        <v>293</v>
      </c>
      <c r="B303" s="120" t="s">
        <v>553</v>
      </c>
      <c r="C303" s="17"/>
      <c r="D303" s="139" t="s">
        <v>698</v>
      </c>
      <c r="E303" s="26" t="s">
        <v>8</v>
      </c>
      <c r="F303" s="26" t="s">
        <v>8</v>
      </c>
      <c r="G303" s="27">
        <v>42004</v>
      </c>
      <c r="H303" s="26"/>
      <c r="I303" s="26" t="s">
        <v>8</v>
      </c>
      <c r="J303" s="26" t="s">
        <v>8</v>
      </c>
      <c r="K303" s="26" t="s">
        <v>8</v>
      </c>
      <c r="L303" s="26" t="s">
        <v>8</v>
      </c>
      <c r="M303" s="26" t="s">
        <v>8</v>
      </c>
      <c r="N303" s="191"/>
      <c r="O303" s="191"/>
      <c r="P303" s="163"/>
      <c r="Q303" s="163"/>
      <c r="R303" s="177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</row>
    <row r="304" spans="1:47" s="14" customFormat="1" ht="78.75" x14ac:dyDescent="0.2">
      <c r="A304" s="122">
        <f t="shared" si="44"/>
        <v>294</v>
      </c>
      <c r="B304" s="139" t="s">
        <v>554</v>
      </c>
      <c r="C304" s="17"/>
      <c r="D304" s="139" t="s">
        <v>698</v>
      </c>
      <c r="E304" s="26" t="s">
        <v>8</v>
      </c>
      <c r="F304" s="26" t="s">
        <v>8</v>
      </c>
      <c r="G304" s="27">
        <v>42369</v>
      </c>
      <c r="H304" s="26"/>
      <c r="I304" s="26" t="s">
        <v>8</v>
      </c>
      <c r="J304" s="26" t="s">
        <v>8</v>
      </c>
      <c r="K304" s="26" t="s">
        <v>8</v>
      </c>
      <c r="L304" s="26" t="s">
        <v>8</v>
      </c>
      <c r="M304" s="26" t="s">
        <v>8</v>
      </c>
      <c r="N304" s="191"/>
      <c r="O304" s="191"/>
      <c r="P304" s="163"/>
      <c r="Q304" s="163"/>
      <c r="R304" s="177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</row>
    <row r="305" spans="1:47" s="11" customFormat="1" ht="78.75" x14ac:dyDescent="0.2">
      <c r="A305" s="122">
        <f t="shared" si="44"/>
        <v>295</v>
      </c>
      <c r="B305" s="120" t="s">
        <v>555</v>
      </c>
      <c r="C305" s="17"/>
      <c r="D305" s="139" t="s">
        <v>698</v>
      </c>
      <c r="E305" s="26" t="s">
        <v>8</v>
      </c>
      <c r="F305" s="26" t="s">
        <v>8</v>
      </c>
      <c r="G305" s="27">
        <v>42735</v>
      </c>
      <c r="H305" s="26"/>
      <c r="I305" s="26" t="s">
        <v>8</v>
      </c>
      <c r="J305" s="26" t="s">
        <v>8</v>
      </c>
      <c r="K305" s="26" t="s">
        <v>8</v>
      </c>
      <c r="L305" s="26" t="s">
        <v>8</v>
      </c>
      <c r="M305" s="26" t="s">
        <v>8</v>
      </c>
      <c r="N305" s="191"/>
      <c r="O305" s="191"/>
      <c r="P305" s="163"/>
      <c r="Q305" s="163"/>
      <c r="R305" s="177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40"/>
      <c r="AO305" s="40"/>
      <c r="AP305" s="40"/>
      <c r="AQ305" s="40"/>
      <c r="AR305" s="40"/>
      <c r="AS305" s="40"/>
      <c r="AT305" s="40"/>
      <c r="AU305" s="40"/>
    </row>
    <row r="306" spans="1:47" s="11" customFormat="1" ht="15.75" customHeight="1" x14ac:dyDescent="0.2">
      <c r="A306" s="212">
        <f t="shared" si="44"/>
        <v>296</v>
      </c>
      <c r="B306" s="277" t="s">
        <v>186</v>
      </c>
      <c r="C306" s="278"/>
      <c r="D306" s="278"/>
      <c r="E306" s="278"/>
      <c r="F306" s="278"/>
      <c r="G306" s="278"/>
      <c r="H306" s="279"/>
      <c r="I306" s="65">
        <f>I289+I283+I277+I269+I300</f>
        <v>204568.25993</v>
      </c>
      <c r="J306" s="65">
        <f>J289+J283+J277+J269+J300</f>
        <v>160505.29999999999</v>
      </c>
      <c r="K306" s="65">
        <f>K289+K283+K277+K269+K300</f>
        <v>102340.65</v>
      </c>
      <c r="L306" s="65">
        <f>L289+L283+L277+L269+L300+L257</f>
        <v>210463.1905</v>
      </c>
      <c r="M306" s="208"/>
      <c r="N306" s="190"/>
      <c r="O306" s="190"/>
      <c r="P306" s="200"/>
      <c r="Q306" s="200"/>
      <c r="R306" s="20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40"/>
      <c r="AO306" s="40"/>
      <c r="AP306" s="40"/>
      <c r="AQ306" s="40"/>
      <c r="AR306" s="40"/>
      <c r="AS306" s="40"/>
      <c r="AT306" s="40"/>
      <c r="AU306" s="40"/>
    </row>
    <row r="307" spans="1:47" ht="19.5" customHeight="1" x14ac:dyDescent="0.2">
      <c r="A307" s="85">
        <f>A306+1</f>
        <v>297</v>
      </c>
      <c r="B307" s="270" t="s">
        <v>187</v>
      </c>
      <c r="C307" s="271"/>
      <c r="D307" s="271"/>
      <c r="E307" s="271"/>
      <c r="F307" s="271"/>
      <c r="G307" s="271"/>
      <c r="H307" s="271"/>
      <c r="I307" s="271"/>
      <c r="J307" s="271"/>
      <c r="K307" s="271"/>
      <c r="L307" s="272"/>
      <c r="M307" s="168"/>
      <c r="N307" s="198"/>
      <c r="O307" s="198"/>
      <c r="P307" s="201"/>
      <c r="Q307" s="201"/>
      <c r="R307" s="201"/>
    </row>
    <row r="308" spans="1:47" s="14" customFormat="1" ht="186.75" customHeight="1" x14ac:dyDescent="0.2">
      <c r="A308" s="122">
        <f>A307+1</f>
        <v>298</v>
      </c>
      <c r="B308" s="52" t="s">
        <v>188</v>
      </c>
      <c r="C308" s="70"/>
      <c r="D308" s="140" t="s">
        <v>698</v>
      </c>
      <c r="E308" s="144">
        <v>41640</v>
      </c>
      <c r="F308" s="172">
        <v>41640</v>
      </c>
      <c r="G308" s="138">
        <v>42735</v>
      </c>
      <c r="H308" s="101"/>
      <c r="I308" s="23">
        <v>0</v>
      </c>
      <c r="J308" s="23">
        <v>0</v>
      </c>
      <c r="K308" s="23">
        <f>K309</f>
        <v>0</v>
      </c>
      <c r="L308" s="23">
        <f>L309</f>
        <v>565</v>
      </c>
      <c r="M308" s="167" t="s">
        <v>189</v>
      </c>
      <c r="N308" s="190"/>
      <c r="O308" s="190"/>
      <c r="P308" s="163"/>
      <c r="Q308" s="163"/>
      <c r="R308" s="163" t="s">
        <v>630</v>
      </c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</row>
    <row r="309" spans="1:47" s="14" customFormat="1" ht="107.25" customHeight="1" x14ac:dyDescent="0.2">
      <c r="A309" s="122">
        <f>A308+1</f>
        <v>299</v>
      </c>
      <c r="B309" s="71" t="s">
        <v>433</v>
      </c>
      <c r="C309" s="71"/>
      <c r="D309" s="140" t="s">
        <v>698</v>
      </c>
      <c r="E309" s="80">
        <v>41640</v>
      </c>
      <c r="F309" s="80">
        <v>41640</v>
      </c>
      <c r="G309" s="80">
        <v>42735</v>
      </c>
      <c r="H309" s="101"/>
      <c r="I309" s="25">
        <v>0</v>
      </c>
      <c r="J309" s="25">
        <v>0</v>
      </c>
      <c r="K309" s="24">
        <v>0</v>
      </c>
      <c r="L309" s="24">
        <f>565000/1000</f>
        <v>565</v>
      </c>
      <c r="M309" s="166" t="s">
        <v>190</v>
      </c>
      <c r="N309" s="191"/>
      <c r="O309" s="191"/>
      <c r="P309" s="163" t="s">
        <v>664</v>
      </c>
      <c r="Q309" s="163"/>
      <c r="R309" s="180" t="s">
        <v>665</v>
      </c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</row>
    <row r="310" spans="1:47" s="14" customFormat="1" ht="78.75" x14ac:dyDescent="0.2">
      <c r="A310" s="122">
        <f t="shared" ref="A310:A361" si="45">A309+1</f>
        <v>300</v>
      </c>
      <c r="B310" s="72" t="s">
        <v>191</v>
      </c>
      <c r="C310" s="72"/>
      <c r="D310" s="140" t="s">
        <v>698</v>
      </c>
      <c r="E310" s="79">
        <v>41640</v>
      </c>
      <c r="F310" s="165">
        <v>41640</v>
      </c>
      <c r="G310" s="79">
        <v>42735</v>
      </c>
      <c r="H310" s="75"/>
      <c r="I310" s="63">
        <v>0</v>
      </c>
      <c r="J310" s="63">
        <v>0</v>
      </c>
      <c r="K310" s="59">
        <v>0</v>
      </c>
      <c r="L310" s="59">
        <v>0</v>
      </c>
      <c r="M310" s="164" t="s">
        <v>192</v>
      </c>
      <c r="N310" s="191"/>
      <c r="O310" s="191"/>
      <c r="P310" s="163" t="s">
        <v>664</v>
      </c>
      <c r="Q310" s="163"/>
      <c r="R310" s="177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</row>
    <row r="311" spans="1:47" s="11" customFormat="1" ht="78.75" x14ac:dyDescent="0.2">
      <c r="A311" s="143">
        <f t="shared" si="45"/>
        <v>301</v>
      </c>
      <c r="B311" s="139" t="s">
        <v>556</v>
      </c>
      <c r="C311" s="17"/>
      <c r="D311" s="139" t="s">
        <v>698</v>
      </c>
      <c r="E311" s="26" t="s">
        <v>8</v>
      </c>
      <c r="F311" s="26" t="s">
        <v>8</v>
      </c>
      <c r="G311" s="27">
        <v>42369</v>
      </c>
      <c r="H311" s="26"/>
      <c r="I311" s="26" t="s">
        <v>8</v>
      </c>
      <c r="J311" s="26" t="s">
        <v>8</v>
      </c>
      <c r="K311" s="26" t="s">
        <v>8</v>
      </c>
      <c r="L311" s="26" t="s">
        <v>8</v>
      </c>
      <c r="M311" s="26" t="s">
        <v>8</v>
      </c>
      <c r="N311" s="191"/>
      <c r="O311" s="191"/>
      <c r="P311" s="163"/>
      <c r="Q311" s="163"/>
      <c r="R311" s="177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40"/>
      <c r="AO311" s="40"/>
      <c r="AP311" s="40"/>
      <c r="AQ311" s="40"/>
      <c r="AR311" s="40"/>
      <c r="AS311" s="40"/>
      <c r="AT311" s="40"/>
      <c r="AU311" s="40"/>
    </row>
    <row r="312" spans="1:47" ht="78.75" x14ac:dyDescent="0.2">
      <c r="A312" s="136">
        <f t="shared" si="45"/>
        <v>302</v>
      </c>
      <c r="B312" s="139" t="s">
        <v>557</v>
      </c>
      <c r="C312" s="17"/>
      <c r="D312" s="139" t="s">
        <v>698</v>
      </c>
      <c r="E312" s="26" t="s">
        <v>8</v>
      </c>
      <c r="F312" s="26" t="s">
        <v>8</v>
      </c>
      <c r="G312" s="27">
        <v>42369</v>
      </c>
      <c r="H312" s="26"/>
      <c r="I312" s="26" t="s">
        <v>8</v>
      </c>
      <c r="J312" s="26" t="s">
        <v>8</v>
      </c>
      <c r="K312" s="26" t="s">
        <v>8</v>
      </c>
      <c r="L312" s="26" t="s">
        <v>8</v>
      </c>
      <c r="M312" s="26" t="s">
        <v>8</v>
      </c>
      <c r="N312" s="191"/>
      <c r="O312" s="191"/>
      <c r="P312" s="163"/>
      <c r="Q312" s="163"/>
      <c r="R312" s="177"/>
    </row>
    <row r="313" spans="1:47" ht="102.75" customHeight="1" x14ac:dyDescent="0.2">
      <c r="A313" s="122">
        <f>A311+1</f>
        <v>302</v>
      </c>
      <c r="B313" s="139" t="s">
        <v>558</v>
      </c>
      <c r="C313" s="17"/>
      <c r="D313" s="107" t="s">
        <v>698</v>
      </c>
      <c r="E313" s="26" t="s">
        <v>8</v>
      </c>
      <c r="F313" s="26" t="s">
        <v>8</v>
      </c>
      <c r="G313" s="27">
        <v>42735</v>
      </c>
      <c r="H313" s="26"/>
      <c r="I313" s="26" t="s">
        <v>8</v>
      </c>
      <c r="J313" s="26" t="s">
        <v>8</v>
      </c>
      <c r="K313" s="26" t="s">
        <v>8</v>
      </c>
      <c r="L313" s="26" t="s">
        <v>8</v>
      </c>
      <c r="M313" s="26" t="s">
        <v>8</v>
      </c>
      <c r="N313" s="191"/>
      <c r="O313" s="191"/>
      <c r="P313" s="163"/>
      <c r="Q313" s="163"/>
      <c r="R313" s="177"/>
    </row>
    <row r="314" spans="1:47" s="14" customFormat="1" ht="101.25" customHeight="1" x14ac:dyDescent="0.2">
      <c r="A314" s="122">
        <f>A313+1</f>
        <v>303</v>
      </c>
      <c r="B314" s="78" t="s">
        <v>193</v>
      </c>
      <c r="C314" s="78"/>
      <c r="D314" s="62" t="s">
        <v>698</v>
      </c>
      <c r="E314" s="79">
        <v>41640</v>
      </c>
      <c r="F314" s="165">
        <v>41640</v>
      </c>
      <c r="G314" s="79">
        <v>42735</v>
      </c>
      <c r="H314" s="101"/>
      <c r="I314" s="54">
        <f>I315</f>
        <v>679.86581999999999</v>
      </c>
      <c r="J314" s="54">
        <f t="shared" ref="J314:K314" si="46">J315</f>
        <v>501.37</v>
      </c>
      <c r="K314" s="54">
        <f t="shared" si="46"/>
        <v>0</v>
      </c>
      <c r="L314" s="54">
        <f>L315</f>
        <v>3584.7782400000001</v>
      </c>
      <c r="M314" s="171" t="s">
        <v>189</v>
      </c>
      <c r="N314" s="190"/>
      <c r="O314" s="190"/>
      <c r="P314" s="163"/>
      <c r="Q314" s="163"/>
      <c r="R314" s="163" t="s">
        <v>629</v>
      </c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</row>
    <row r="315" spans="1:47" ht="108" customHeight="1" x14ac:dyDescent="0.2">
      <c r="A315" s="122">
        <f t="shared" si="45"/>
        <v>304</v>
      </c>
      <c r="B315" s="72" t="s">
        <v>194</v>
      </c>
      <c r="C315" s="72"/>
      <c r="D315" s="62" t="s">
        <v>698</v>
      </c>
      <c r="E315" s="79">
        <v>41640</v>
      </c>
      <c r="F315" s="165">
        <v>41640</v>
      </c>
      <c r="G315" s="79">
        <v>42735</v>
      </c>
      <c r="H315" s="101"/>
      <c r="I315" s="59">
        <f>679865.82/1000</f>
        <v>679.86581999999999</v>
      </c>
      <c r="J315" s="63">
        <v>501.37</v>
      </c>
      <c r="K315" s="32">
        <v>0</v>
      </c>
      <c r="L315" s="32">
        <f>3584778.24/1000</f>
        <v>3584.7782400000001</v>
      </c>
      <c r="M315" s="164" t="s">
        <v>321</v>
      </c>
      <c r="N315" s="191"/>
      <c r="O315" s="191"/>
      <c r="P315" s="163" t="s">
        <v>664</v>
      </c>
      <c r="Q315" s="163" t="s">
        <v>650</v>
      </c>
      <c r="R315" s="180" t="s">
        <v>665</v>
      </c>
    </row>
    <row r="316" spans="1:47" ht="78.75" x14ac:dyDescent="0.2">
      <c r="A316" s="122">
        <f t="shared" si="45"/>
        <v>305</v>
      </c>
      <c r="B316" s="72" t="s">
        <v>195</v>
      </c>
      <c r="C316" s="72"/>
      <c r="D316" s="62" t="s">
        <v>698</v>
      </c>
      <c r="E316" s="79">
        <v>41640</v>
      </c>
      <c r="F316" s="165">
        <v>41640</v>
      </c>
      <c r="G316" s="79">
        <v>42735</v>
      </c>
      <c r="H316" s="75"/>
      <c r="I316" s="59">
        <v>0</v>
      </c>
      <c r="J316" s="63">
        <v>0</v>
      </c>
      <c r="K316" s="59">
        <v>0</v>
      </c>
      <c r="L316" s="59">
        <v>0</v>
      </c>
      <c r="M316" s="164" t="s">
        <v>322</v>
      </c>
      <c r="N316" s="191"/>
      <c r="O316" s="191"/>
      <c r="P316" s="163" t="s">
        <v>664</v>
      </c>
      <c r="Q316" s="163"/>
      <c r="R316" s="177"/>
    </row>
    <row r="317" spans="1:47" ht="78.75" x14ac:dyDescent="0.2">
      <c r="A317" s="122">
        <f t="shared" si="45"/>
        <v>306</v>
      </c>
      <c r="B317" s="139" t="s">
        <v>559</v>
      </c>
      <c r="C317" s="17"/>
      <c r="D317" s="107" t="s">
        <v>698</v>
      </c>
      <c r="E317" s="26" t="s">
        <v>8</v>
      </c>
      <c r="F317" s="26" t="s">
        <v>8</v>
      </c>
      <c r="G317" s="27">
        <v>42004</v>
      </c>
      <c r="H317" s="26"/>
      <c r="I317" s="26" t="s">
        <v>8</v>
      </c>
      <c r="J317" s="26" t="s">
        <v>8</v>
      </c>
      <c r="K317" s="26" t="s">
        <v>8</v>
      </c>
      <c r="L317" s="26" t="s">
        <v>8</v>
      </c>
      <c r="M317" s="26" t="s">
        <v>8</v>
      </c>
      <c r="N317" s="191"/>
      <c r="O317" s="191"/>
      <c r="P317" s="163"/>
      <c r="Q317" s="163"/>
      <c r="R317" s="177"/>
    </row>
    <row r="318" spans="1:47" s="21" customFormat="1" ht="78.75" x14ac:dyDescent="0.2">
      <c r="A318" s="122">
        <f t="shared" si="45"/>
        <v>307</v>
      </c>
      <c r="B318" s="81" t="s">
        <v>560</v>
      </c>
      <c r="C318" s="17"/>
      <c r="D318" s="107" t="s">
        <v>698</v>
      </c>
      <c r="E318" s="26" t="s">
        <v>8</v>
      </c>
      <c r="F318" s="26" t="s">
        <v>8</v>
      </c>
      <c r="G318" s="27">
        <v>42369</v>
      </c>
      <c r="H318" s="26"/>
      <c r="I318" s="26" t="s">
        <v>8</v>
      </c>
      <c r="J318" s="26" t="s">
        <v>8</v>
      </c>
      <c r="K318" s="26" t="s">
        <v>8</v>
      </c>
      <c r="L318" s="26" t="s">
        <v>8</v>
      </c>
      <c r="M318" s="26" t="s">
        <v>8</v>
      </c>
      <c r="N318" s="191"/>
      <c r="O318" s="191"/>
      <c r="P318" s="163"/>
      <c r="Q318" s="163"/>
      <c r="R318" s="177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44"/>
      <c r="AG318" s="44"/>
      <c r="AH318" s="44"/>
      <c r="AI318" s="44"/>
      <c r="AJ318" s="44"/>
      <c r="AK318" s="44"/>
      <c r="AL318" s="44"/>
      <c r="AM318" s="44"/>
      <c r="AN318" s="44"/>
      <c r="AO318" s="44"/>
      <c r="AP318" s="44"/>
      <c r="AQ318" s="44"/>
      <c r="AR318" s="44"/>
      <c r="AS318" s="44"/>
      <c r="AT318" s="44"/>
      <c r="AU318" s="44"/>
    </row>
    <row r="319" spans="1:47" s="21" customFormat="1" ht="98.25" customHeight="1" x14ac:dyDescent="0.2">
      <c r="A319" s="122">
        <f t="shared" si="45"/>
        <v>308</v>
      </c>
      <c r="B319" s="81" t="s">
        <v>561</v>
      </c>
      <c r="C319" s="17"/>
      <c r="D319" s="107" t="s">
        <v>698</v>
      </c>
      <c r="E319" s="26" t="s">
        <v>8</v>
      </c>
      <c r="F319" s="26" t="s">
        <v>8</v>
      </c>
      <c r="G319" s="27">
        <v>42735</v>
      </c>
      <c r="H319" s="26"/>
      <c r="I319" s="26" t="s">
        <v>8</v>
      </c>
      <c r="J319" s="26" t="s">
        <v>8</v>
      </c>
      <c r="K319" s="26" t="s">
        <v>8</v>
      </c>
      <c r="L319" s="26" t="s">
        <v>8</v>
      </c>
      <c r="M319" s="26" t="s">
        <v>8</v>
      </c>
      <c r="N319" s="191"/>
      <c r="O319" s="191"/>
      <c r="P319" s="163"/>
      <c r="Q319" s="163"/>
      <c r="R319" s="177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  <c r="AE319" s="44"/>
      <c r="AF319" s="44"/>
      <c r="AG319" s="44"/>
      <c r="AH319" s="44"/>
      <c r="AI319" s="44"/>
      <c r="AJ319" s="44"/>
      <c r="AK319" s="44"/>
      <c r="AL319" s="44"/>
      <c r="AM319" s="44"/>
      <c r="AN319" s="44"/>
      <c r="AO319" s="44"/>
      <c r="AP319" s="44"/>
      <c r="AQ319" s="44"/>
      <c r="AR319" s="44"/>
      <c r="AS319" s="44"/>
      <c r="AT319" s="44"/>
      <c r="AU319" s="44"/>
    </row>
    <row r="320" spans="1:47" s="21" customFormat="1" ht="121.5" customHeight="1" x14ac:dyDescent="0.2">
      <c r="A320" s="122">
        <f t="shared" si="45"/>
        <v>309</v>
      </c>
      <c r="B320" s="78" t="s">
        <v>196</v>
      </c>
      <c r="C320" s="78"/>
      <c r="D320" s="62" t="s">
        <v>698</v>
      </c>
      <c r="E320" s="79">
        <v>41640</v>
      </c>
      <c r="F320" s="165">
        <v>41640</v>
      </c>
      <c r="G320" s="79">
        <v>42735</v>
      </c>
      <c r="H320" s="101"/>
      <c r="I320" s="54">
        <f>I321</f>
        <v>4138.5870199999999</v>
      </c>
      <c r="J320" s="54">
        <f t="shared" ref="J320:K320" si="47">J321</f>
        <v>3136.85</v>
      </c>
      <c r="K320" s="54">
        <f t="shared" si="47"/>
        <v>0</v>
      </c>
      <c r="L320" s="54">
        <f>L321</f>
        <v>4138.5870199999999</v>
      </c>
      <c r="M320" s="171" t="s">
        <v>197</v>
      </c>
      <c r="N320" s="190"/>
      <c r="O320" s="190"/>
      <c r="P320" s="163"/>
      <c r="Q320" s="163"/>
      <c r="R320" s="163" t="s">
        <v>630</v>
      </c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</row>
    <row r="321" spans="1:47" ht="100.5" customHeight="1" x14ac:dyDescent="0.2">
      <c r="A321" s="122">
        <f t="shared" si="45"/>
        <v>310</v>
      </c>
      <c r="B321" s="72" t="s">
        <v>434</v>
      </c>
      <c r="C321" s="72"/>
      <c r="D321" s="62" t="s">
        <v>698</v>
      </c>
      <c r="E321" s="79">
        <v>41640</v>
      </c>
      <c r="F321" s="165">
        <v>41640</v>
      </c>
      <c r="G321" s="79">
        <v>42735</v>
      </c>
      <c r="H321" s="101"/>
      <c r="I321" s="32">
        <f>4138587.02/1000</f>
        <v>4138.5870199999999</v>
      </c>
      <c r="J321" s="32">
        <v>3136.85</v>
      </c>
      <c r="K321" s="32">
        <v>0</v>
      </c>
      <c r="L321" s="32">
        <f>4138587.02/1000</f>
        <v>4138.5870199999999</v>
      </c>
      <c r="M321" s="164" t="s">
        <v>198</v>
      </c>
      <c r="N321" s="191"/>
      <c r="O321" s="191"/>
      <c r="P321" s="163" t="s">
        <v>664</v>
      </c>
      <c r="Q321" s="163" t="s">
        <v>650</v>
      </c>
      <c r="R321" s="180" t="s">
        <v>665</v>
      </c>
    </row>
    <row r="322" spans="1:47" ht="78.75" x14ac:dyDescent="0.2">
      <c r="A322" s="122">
        <f t="shared" si="45"/>
        <v>311</v>
      </c>
      <c r="B322" s="72" t="s">
        <v>199</v>
      </c>
      <c r="C322" s="72"/>
      <c r="D322" s="62" t="s">
        <v>698</v>
      </c>
      <c r="E322" s="79">
        <v>41640</v>
      </c>
      <c r="F322" s="165">
        <v>41640</v>
      </c>
      <c r="G322" s="79">
        <v>42735</v>
      </c>
      <c r="H322" s="75"/>
      <c r="I322" s="59">
        <v>0</v>
      </c>
      <c r="J322" s="59">
        <v>0</v>
      </c>
      <c r="K322" s="59">
        <v>0</v>
      </c>
      <c r="L322" s="59">
        <v>0</v>
      </c>
      <c r="M322" s="164" t="s">
        <v>200</v>
      </c>
      <c r="N322" s="191"/>
      <c r="O322" s="191"/>
      <c r="P322" s="163" t="s">
        <v>664</v>
      </c>
      <c r="Q322" s="163"/>
      <c r="R322" s="177"/>
    </row>
    <row r="323" spans="1:47" ht="90.75" customHeight="1" x14ac:dyDescent="0.2">
      <c r="A323" s="122">
        <f t="shared" si="45"/>
        <v>312</v>
      </c>
      <c r="B323" s="81" t="s">
        <v>562</v>
      </c>
      <c r="C323" s="17"/>
      <c r="D323" s="107" t="s">
        <v>698</v>
      </c>
      <c r="E323" s="26" t="s">
        <v>8</v>
      </c>
      <c r="F323" s="26" t="s">
        <v>8</v>
      </c>
      <c r="G323" s="27">
        <v>41729</v>
      </c>
      <c r="H323" s="243" t="s">
        <v>713</v>
      </c>
      <c r="I323" s="9" t="s">
        <v>8</v>
      </c>
      <c r="J323" s="9" t="s">
        <v>8</v>
      </c>
      <c r="K323" s="9" t="s">
        <v>8</v>
      </c>
      <c r="L323" s="9" t="s">
        <v>8</v>
      </c>
      <c r="M323" s="26" t="s">
        <v>8</v>
      </c>
      <c r="N323" s="191"/>
      <c r="O323" s="191"/>
      <c r="P323" s="163"/>
      <c r="Q323" s="163"/>
      <c r="R323" s="177"/>
    </row>
    <row r="324" spans="1:47" s="14" customFormat="1" ht="86.25" customHeight="1" x14ac:dyDescent="0.2">
      <c r="A324" s="122">
        <f t="shared" si="45"/>
        <v>313</v>
      </c>
      <c r="B324" s="81" t="s">
        <v>563</v>
      </c>
      <c r="C324" s="17" t="s">
        <v>13</v>
      </c>
      <c r="D324" s="107" t="s">
        <v>698</v>
      </c>
      <c r="E324" s="26" t="s">
        <v>8</v>
      </c>
      <c r="F324" s="26" t="s">
        <v>8</v>
      </c>
      <c r="G324" s="27">
        <v>42094</v>
      </c>
      <c r="H324" s="26"/>
      <c r="I324" s="9" t="s">
        <v>8</v>
      </c>
      <c r="J324" s="9" t="s">
        <v>8</v>
      </c>
      <c r="K324" s="9" t="s">
        <v>8</v>
      </c>
      <c r="L324" s="9" t="s">
        <v>8</v>
      </c>
      <c r="M324" s="26" t="s">
        <v>8</v>
      </c>
      <c r="N324" s="191"/>
      <c r="O324" s="191"/>
      <c r="P324" s="163"/>
      <c r="Q324" s="163"/>
      <c r="R324" s="177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</row>
    <row r="325" spans="1:47" s="14" customFormat="1" ht="102.75" customHeight="1" x14ac:dyDescent="0.2">
      <c r="A325" s="122">
        <f t="shared" si="45"/>
        <v>314</v>
      </c>
      <c r="B325" s="81" t="s">
        <v>564</v>
      </c>
      <c r="C325" s="17" t="s">
        <v>13</v>
      </c>
      <c r="D325" s="107" t="s">
        <v>698</v>
      </c>
      <c r="E325" s="26" t="s">
        <v>8</v>
      </c>
      <c r="F325" s="26" t="s">
        <v>8</v>
      </c>
      <c r="G325" s="27">
        <v>42460</v>
      </c>
      <c r="H325" s="26"/>
      <c r="I325" s="9" t="s">
        <v>8</v>
      </c>
      <c r="J325" s="9" t="s">
        <v>8</v>
      </c>
      <c r="K325" s="9" t="s">
        <v>8</v>
      </c>
      <c r="L325" s="9" t="s">
        <v>8</v>
      </c>
      <c r="M325" s="26" t="s">
        <v>8</v>
      </c>
      <c r="N325" s="191"/>
      <c r="O325" s="191"/>
      <c r="P325" s="163"/>
      <c r="Q325" s="163"/>
      <c r="R325" s="177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</row>
    <row r="326" spans="1:47" ht="82.5" customHeight="1" x14ac:dyDescent="0.2">
      <c r="A326" s="122">
        <f t="shared" si="45"/>
        <v>315</v>
      </c>
      <c r="B326" s="78" t="s">
        <v>201</v>
      </c>
      <c r="C326" s="78"/>
      <c r="D326" s="62" t="s">
        <v>698</v>
      </c>
      <c r="E326" s="79">
        <v>41640</v>
      </c>
      <c r="F326" s="165">
        <v>41640</v>
      </c>
      <c r="G326" s="79">
        <v>42735</v>
      </c>
      <c r="H326" s="101"/>
      <c r="I326" s="54">
        <f>I327+I328</f>
        <v>11306.079320000001</v>
      </c>
      <c r="J326" s="54">
        <f t="shared" ref="J326:K326" si="48">J327+J328</f>
        <v>979.56</v>
      </c>
      <c r="K326" s="54">
        <f t="shared" si="48"/>
        <v>0</v>
      </c>
      <c r="L326" s="54">
        <f>L327</f>
        <v>1306.0793200000001</v>
      </c>
      <c r="M326" s="171" t="s">
        <v>202</v>
      </c>
      <c r="N326" s="190"/>
      <c r="O326" s="190"/>
      <c r="P326" s="163"/>
      <c r="Q326" s="163"/>
      <c r="R326" s="163" t="s">
        <v>630</v>
      </c>
    </row>
    <row r="327" spans="1:47" ht="82.5" customHeight="1" x14ac:dyDescent="0.2">
      <c r="A327" s="122">
        <f t="shared" si="45"/>
        <v>316</v>
      </c>
      <c r="B327" s="72" t="s">
        <v>435</v>
      </c>
      <c r="C327" s="72"/>
      <c r="D327" s="62" t="s">
        <v>698</v>
      </c>
      <c r="E327" s="79">
        <v>41640</v>
      </c>
      <c r="F327" s="165">
        <v>41640</v>
      </c>
      <c r="G327" s="79">
        <v>42735</v>
      </c>
      <c r="H327" s="101"/>
      <c r="I327" s="32">
        <f>1306079.32/1000</f>
        <v>1306.0793200000001</v>
      </c>
      <c r="J327" s="32">
        <v>979.56</v>
      </c>
      <c r="K327" s="32">
        <v>0</v>
      </c>
      <c r="L327" s="32">
        <f>1306079.32/1000</f>
        <v>1306.0793200000001</v>
      </c>
      <c r="M327" s="164" t="s">
        <v>203</v>
      </c>
      <c r="N327" s="191"/>
      <c r="O327" s="191"/>
      <c r="P327" s="160" t="s">
        <v>664</v>
      </c>
      <c r="Q327" s="160" t="s">
        <v>650</v>
      </c>
      <c r="R327" s="184" t="s">
        <v>666</v>
      </c>
    </row>
    <row r="328" spans="1:47" ht="78.75" x14ac:dyDescent="0.2">
      <c r="A328" s="122">
        <f t="shared" si="45"/>
        <v>317</v>
      </c>
      <c r="B328" s="71" t="s">
        <v>204</v>
      </c>
      <c r="C328" s="71"/>
      <c r="D328" s="62" t="s">
        <v>698</v>
      </c>
      <c r="E328" s="80">
        <v>41640</v>
      </c>
      <c r="F328" s="80">
        <v>41640</v>
      </c>
      <c r="G328" s="80">
        <v>42004</v>
      </c>
      <c r="H328" s="101"/>
      <c r="I328" s="32">
        <f>10000000/1000</f>
        <v>10000</v>
      </c>
      <c r="J328" s="24">
        <v>0</v>
      </c>
      <c r="K328" s="24">
        <v>0</v>
      </c>
      <c r="L328" s="24">
        <v>0</v>
      </c>
      <c r="M328" s="166" t="s">
        <v>205</v>
      </c>
      <c r="N328" s="191"/>
      <c r="O328" s="191"/>
      <c r="P328" s="160" t="s">
        <v>664</v>
      </c>
      <c r="Q328" s="160" t="s">
        <v>627</v>
      </c>
      <c r="R328" s="184" t="s">
        <v>666</v>
      </c>
    </row>
    <row r="329" spans="1:47" s="14" customFormat="1" ht="78.75" x14ac:dyDescent="0.2">
      <c r="A329" s="122">
        <f t="shared" si="45"/>
        <v>318</v>
      </c>
      <c r="B329" s="139" t="s">
        <v>565</v>
      </c>
      <c r="C329" s="17"/>
      <c r="D329" s="107" t="s">
        <v>698</v>
      </c>
      <c r="E329" s="26" t="s">
        <v>8</v>
      </c>
      <c r="F329" s="26" t="s">
        <v>8</v>
      </c>
      <c r="G329" s="27">
        <v>42004</v>
      </c>
      <c r="H329" s="26"/>
      <c r="I329" s="26" t="s">
        <v>8</v>
      </c>
      <c r="J329" s="26" t="s">
        <v>8</v>
      </c>
      <c r="K329" s="26" t="s">
        <v>8</v>
      </c>
      <c r="L329" s="26" t="s">
        <v>8</v>
      </c>
      <c r="M329" s="26" t="s">
        <v>8</v>
      </c>
      <c r="N329" s="191"/>
      <c r="O329" s="191"/>
      <c r="P329" s="163"/>
      <c r="Q329" s="163"/>
      <c r="R329" s="177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</row>
    <row r="330" spans="1:47" s="14" customFormat="1" ht="78.75" x14ac:dyDescent="0.2">
      <c r="A330" s="122">
        <f t="shared" si="45"/>
        <v>319</v>
      </c>
      <c r="B330" s="81" t="s">
        <v>566</v>
      </c>
      <c r="C330" s="17"/>
      <c r="D330" s="107" t="s">
        <v>698</v>
      </c>
      <c r="E330" s="26" t="s">
        <v>8</v>
      </c>
      <c r="F330" s="26" t="s">
        <v>8</v>
      </c>
      <c r="G330" s="27">
        <v>42369</v>
      </c>
      <c r="H330" s="26"/>
      <c r="I330" s="26" t="s">
        <v>8</v>
      </c>
      <c r="J330" s="26" t="s">
        <v>8</v>
      </c>
      <c r="K330" s="26" t="s">
        <v>8</v>
      </c>
      <c r="L330" s="26" t="s">
        <v>8</v>
      </c>
      <c r="M330" s="26" t="s">
        <v>8</v>
      </c>
      <c r="N330" s="191"/>
      <c r="O330" s="191"/>
      <c r="P330" s="163"/>
      <c r="Q330" s="163"/>
      <c r="R330" s="177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</row>
    <row r="331" spans="1:47" s="14" customFormat="1" ht="103.5" customHeight="1" x14ac:dyDescent="0.2">
      <c r="A331" s="122">
        <f t="shared" si="45"/>
        <v>320</v>
      </c>
      <c r="B331" s="81" t="s">
        <v>567</v>
      </c>
      <c r="C331" s="17"/>
      <c r="D331" s="107" t="s">
        <v>698</v>
      </c>
      <c r="E331" s="26" t="s">
        <v>34</v>
      </c>
      <c r="F331" s="26" t="s">
        <v>34</v>
      </c>
      <c r="G331" s="27">
        <v>42735</v>
      </c>
      <c r="H331" s="26"/>
      <c r="I331" s="26" t="s">
        <v>34</v>
      </c>
      <c r="J331" s="26" t="s">
        <v>34</v>
      </c>
      <c r="K331" s="26" t="s">
        <v>34</v>
      </c>
      <c r="L331" s="26" t="s">
        <v>34</v>
      </c>
      <c r="M331" s="26" t="s">
        <v>34</v>
      </c>
      <c r="N331" s="191"/>
      <c r="O331" s="191"/>
      <c r="P331" s="163"/>
      <c r="Q331" s="163"/>
      <c r="R331" s="177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</row>
    <row r="332" spans="1:47" ht="102" customHeight="1" x14ac:dyDescent="0.2">
      <c r="A332" s="122">
        <f t="shared" si="45"/>
        <v>321</v>
      </c>
      <c r="B332" s="70" t="s">
        <v>246</v>
      </c>
      <c r="C332" s="70"/>
      <c r="D332" s="140" t="s">
        <v>698</v>
      </c>
      <c r="E332" s="80">
        <v>41640</v>
      </c>
      <c r="F332" s="80">
        <v>41640</v>
      </c>
      <c r="G332" s="80">
        <v>42735</v>
      </c>
      <c r="H332" s="101"/>
      <c r="I332" s="23">
        <f>I333</f>
        <v>3090</v>
      </c>
      <c r="J332" s="23">
        <f t="shared" ref="J332:K332" si="49">J333</f>
        <v>1316</v>
      </c>
      <c r="K332" s="23">
        <f t="shared" si="49"/>
        <v>1228.5999999999999</v>
      </c>
      <c r="L332" s="23">
        <f>L333</f>
        <v>2337.5</v>
      </c>
      <c r="M332" s="167" t="s">
        <v>206</v>
      </c>
      <c r="N332" s="190"/>
      <c r="O332" s="190"/>
      <c r="P332" s="163"/>
      <c r="Q332" s="163"/>
      <c r="R332" s="163" t="s">
        <v>630</v>
      </c>
    </row>
    <row r="333" spans="1:47" ht="103.5" customHeight="1" x14ac:dyDescent="0.2">
      <c r="A333" s="122">
        <f t="shared" si="45"/>
        <v>322</v>
      </c>
      <c r="B333" s="71" t="s">
        <v>436</v>
      </c>
      <c r="C333" s="71"/>
      <c r="D333" s="140" t="s">
        <v>698</v>
      </c>
      <c r="E333" s="80">
        <v>41640</v>
      </c>
      <c r="F333" s="80">
        <v>41640</v>
      </c>
      <c r="G333" s="80">
        <v>42735</v>
      </c>
      <c r="H333" s="101"/>
      <c r="I333" s="25">
        <f>3090000/1000</f>
        <v>3090</v>
      </c>
      <c r="J333" s="25">
        <v>1316</v>
      </c>
      <c r="K333" s="25">
        <v>1228.5999999999999</v>
      </c>
      <c r="L333" s="25">
        <f>2337500/1000</f>
        <v>2337.5</v>
      </c>
      <c r="M333" s="166" t="s">
        <v>323</v>
      </c>
      <c r="N333" s="191"/>
      <c r="O333" s="191"/>
      <c r="P333" s="163" t="s">
        <v>664</v>
      </c>
      <c r="Q333" s="163" t="s">
        <v>627</v>
      </c>
      <c r="R333" s="180" t="s">
        <v>666</v>
      </c>
    </row>
    <row r="334" spans="1:47" ht="78.75" x14ac:dyDescent="0.2">
      <c r="A334" s="122">
        <f t="shared" si="45"/>
        <v>323</v>
      </c>
      <c r="B334" s="71" t="s">
        <v>207</v>
      </c>
      <c r="C334" s="71"/>
      <c r="D334" s="140" t="s">
        <v>698</v>
      </c>
      <c r="E334" s="80">
        <v>41640</v>
      </c>
      <c r="F334" s="80">
        <v>41640</v>
      </c>
      <c r="G334" s="80">
        <v>42735</v>
      </c>
      <c r="H334" s="53"/>
      <c r="I334" s="24">
        <v>0</v>
      </c>
      <c r="J334" s="24">
        <v>0</v>
      </c>
      <c r="K334" s="24">
        <v>0</v>
      </c>
      <c r="L334" s="24">
        <v>0</v>
      </c>
      <c r="M334" s="166" t="s">
        <v>208</v>
      </c>
      <c r="N334" s="191"/>
      <c r="O334" s="191"/>
      <c r="P334" s="163" t="s">
        <v>664</v>
      </c>
      <c r="Q334" s="163"/>
      <c r="R334" s="177"/>
    </row>
    <row r="335" spans="1:47" ht="113.25" customHeight="1" x14ac:dyDescent="0.2">
      <c r="A335" s="122">
        <f t="shared" si="45"/>
        <v>324</v>
      </c>
      <c r="B335" s="120" t="s">
        <v>568</v>
      </c>
      <c r="C335" s="17"/>
      <c r="D335" s="107" t="s">
        <v>698</v>
      </c>
      <c r="E335" s="26" t="s">
        <v>8</v>
      </c>
      <c r="F335" s="26" t="s">
        <v>8</v>
      </c>
      <c r="G335" s="27">
        <v>41820</v>
      </c>
      <c r="H335" s="227" t="s">
        <v>714</v>
      </c>
      <c r="I335" s="26" t="s">
        <v>8</v>
      </c>
      <c r="J335" s="26" t="s">
        <v>8</v>
      </c>
      <c r="K335" s="26" t="s">
        <v>8</v>
      </c>
      <c r="L335" s="26" t="s">
        <v>8</v>
      </c>
      <c r="M335" s="26" t="s">
        <v>8</v>
      </c>
      <c r="N335" s="191"/>
      <c r="O335" s="191"/>
      <c r="P335" s="163"/>
      <c r="Q335" s="163"/>
      <c r="R335" s="177"/>
    </row>
    <row r="336" spans="1:47" ht="78.75" x14ac:dyDescent="0.2">
      <c r="A336" s="122">
        <f t="shared" si="45"/>
        <v>325</v>
      </c>
      <c r="B336" s="120" t="s">
        <v>569</v>
      </c>
      <c r="C336" s="17" t="s">
        <v>13</v>
      </c>
      <c r="D336" s="107" t="s">
        <v>698</v>
      </c>
      <c r="E336" s="26" t="s">
        <v>8</v>
      </c>
      <c r="F336" s="26" t="s">
        <v>8</v>
      </c>
      <c r="G336" s="27">
        <v>42185</v>
      </c>
      <c r="H336" s="26"/>
      <c r="I336" s="26" t="s">
        <v>8</v>
      </c>
      <c r="J336" s="26" t="s">
        <v>8</v>
      </c>
      <c r="K336" s="26" t="s">
        <v>8</v>
      </c>
      <c r="L336" s="26" t="s">
        <v>8</v>
      </c>
      <c r="M336" s="26" t="s">
        <v>8</v>
      </c>
      <c r="N336" s="191"/>
      <c r="O336" s="191"/>
      <c r="P336" s="163"/>
      <c r="Q336" s="163"/>
      <c r="R336" s="177"/>
    </row>
    <row r="337" spans="1:47" ht="104.25" customHeight="1" x14ac:dyDescent="0.2">
      <c r="A337" s="122">
        <f t="shared" si="45"/>
        <v>326</v>
      </c>
      <c r="B337" s="120" t="s">
        <v>570</v>
      </c>
      <c r="C337" s="17" t="s">
        <v>13</v>
      </c>
      <c r="D337" s="107" t="s">
        <v>698</v>
      </c>
      <c r="E337" s="26" t="s">
        <v>8</v>
      </c>
      <c r="F337" s="26" t="s">
        <v>8</v>
      </c>
      <c r="G337" s="27">
        <v>42551</v>
      </c>
      <c r="H337" s="26"/>
      <c r="I337" s="26" t="s">
        <v>8</v>
      </c>
      <c r="J337" s="26" t="s">
        <v>8</v>
      </c>
      <c r="K337" s="26" t="s">
        <v>8</v>
      </c>
      <c r="L337" s="26" t="s">
        <v>8</v>
      </c>
      <c r="M337" s="26" t="s">
        <v>8</v>
      </c>
      <c r="N337" s="191"/>
      <c r="O337" s="191"/>
      <c r="P337" s="163"/>
      <c r="Q337" s="163"/>
      <c r="R337" s="177"/>
    </row>
    <row r="338" spans="1:47" ht="101.25" customHeight="1" x14ac:dyDescent="0.2">
      <c r="A338" s="122">
        <f t="shared" si="45"/>
        <v>327</v>
      </c>
      <c r="B338" s="70" t="s">
        <v>209</v>
      </c>
      <c r="C338" s="70"/>
      <c r="D338" s="140" t="s">
        <v>698</v>
      </c>
      <c r="E338" s="80">
        <v>41640</v>
      </c>
      <c r="F338" s="80">
        <v>41640</v>
      </c>
      <c r="G338" s="80">
        <v>42735</v>
      </c>
      <c r="H338" s="101"/>
      <c r="I338" s="23">
        <f>I339</f>
        <v>1000</v>
      </c>
      <c r="J338" s="23">
        <f t="shared" ref="J338:K338" si="50">J339</f>
        <v>400</v>
      </c>
      <c r="K338" s="23">
        <f t="shared" si="50"/>
        <v>0</v>
      </c>
      <c r="L338" s="23">
        <v>0</v>
      </c>
      <c r="M338" s="167" t="s">
        <v>206</v>
      </c>
      <c r="N338" s="190"/>
      <c r="O338" s="190"/>
      <c r="P338" s="163"/>
      <c r="Q338" s="163"/>
      <c r="R338" s="163" t="s">
        <v>630</v>
      </c>
    </row>
    <row r="339" spans="1:47" ht="105.75" customHeight="1" x14ac:dyDescent="0.2">
      <c r="A339" s="122">
        <f t="shared" si="45"/>
        <v>328</v>
      </c>
      <c r="B339" s="71" t="s">
        <v>437</v>
      </c>
      <c r="C339" s="71"/>
      <c r="D339" s="140" t="s">
        <v>698</v>
      </c>
      <c r="E339" s="80">
        <v>41640</v>
      </c>
      <c r="F339" s="80">
        <v>41640</v>
      </c>
      <c r="G339" s="80">
        <v>42735</v>
      </c>
      <c r="H339" s="101"/>
      <c r="I339" s="25">
        <f>1000000/1000</f>
        <v>1000</v>
      </c>
      <c r="J339" s="25">
        <v>400</v>
      </c>
      <c r="K339" s="25">
        <v>0</v>
      </c>
      <c r="L339" s="25">
        <v>0</v>
      </c>
      <c r="M339" s="166" t="s">
        <v>210</v>
      </c>
      <c r="N339" s="191"/>
      <c r="O339" s="191"/>
      <c r="P339" s="160" t="s">
        <v>664</v>
      </c>
      <c r="Q339" s="160" t="s">
        <v>627</v>
      </c>
      <c r="R339" s="184" t="s">
        <v>665</v>
      </c>
    </row>
    <row r="340" spans="1:47" s="14" customFormat="1" ht="78.75" x14ac:dyDescent="0.2">
      <c r="A340" s="122">
        <f t="shared" si="45"/>
        <v>329</v>
      </c>
      <c r="B340" s="71" t="s">
        <v>211</v>
      </c>
      <c r="C340" s="71"/>
      <c r="D340" s="140" t="s">
        <v>698</v>
      </c>
      <c r="E340" s="80">
        <v>41640</v>
      </c>
      <c r="F340" s="80">
        <v>41640</v>
      </c>
      <c r="G340" s="80">
        <v>42735</v>
      </c>
      <c r="H340" s="53"/>
      <c r="I340" s="24">
        <v>0</v>
      </c>
      <c r="J340" s="25">
        <v>0</v>
      </c>
      <c r="K340" s="25">
        <v>0</v>
      </c>
      <c r="L340" s="25">
        <v>0</v>
      </c>
      <c r="M340" s="166" t="s">
        <v>273</v>
      </c>
      <c r="N340" s="191"/>
      <c r="O340" s="191"/>
      <c r="P340" s="160" t="s">
        <v>664</v>
      </c>
      <c r="Q340" s="163"/>
      <c r="R340" s="177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</row>
    <row r="341" spans="1:47" s="14" customFormat="1" ht="91.5" customHeight="1" x14ac:dyDescent="0.2">
      <c r="A341" s="238">
        <f t="shared" si="45"/>
        <v>330</v>
      </c>
      <c r="B341" s="139" t="s">
        <v>571</v>
      </c>
      <c r="C341" s="17" t="s">
        <v>13</v>
      </c>
      <c r="D341" s="139" t="s">
        <v>698</v>
      </c>
      <c r="E341" s="26" t="s">
        <v>8</v>
      </c>
      <c r="F341" s="26" t="s">
        <v>8</v>
      </c>
      <c r="G341" s="27">
        <v>41820</v>
      </c>
      <c r="H341" s="241" t="s">
        <v>704</v>
      </c>
      <c r="I341" s="26" t="s">
        <v>8</v>
      </c>
      <c r="J341" s="26" t="s">
        <v>8</v>
      </c>
      <c r="K341" s="26" t="s">
        <v>8</v>
      </c>
      <c r="L341" s="26" t="s">
        <v>8</v>
      </c>
      <c r="M341" s="26" t="s">
        <v>8</v>
      </c>
      <c r="N341" s="191"/>
      <c r="O341" s="191"/>
      <c r="P341" s="163"/>
      <c r="Q341" s="163"/>
      <c r="R341" s="177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</row>
    <row r="342" spans="1:47" s="14" customFormat="1" ht="78.75" x14ac:dyDescent="0.2">
      <c r="A342" s="122">
        <f t="shared" si="45"/>
        <v>331</v>
      </c>
      <c r="B342" s="139" t="s">
        <v>572</v>
      </c>
      <c r="C342" s="17" t="s">
        <v>13</v>
      </c>
      <c r="D342" s="120" t="s">
        <v>698</v>
      </c>
      <c r="E342" s="26" t="s">
        <v>8</v>
      </c>
      <c r="F342" s="26" t="s">
        <v>8</v>
      </c>
      <c r="G342" s="27">
        <v>42185</v>
      </c>
      <c r="H342" s="26"/>
      <c r="I342" s="26" t="s">
        <v>8</v>
      </c>
      <c r="J342" s="26" t="s">
        <v>8</v>
      </c>
      <c r="K342" s="26" t="s">
        <v>8</v>
      </c>
      <c r="L342" s="26" t="s">
        <v>8</v>
      </c>
      <c r="M342" s="26" t="s">
        <v>8</v>
      </c>
      <c r="N342" s="191"/>
      <c r="O342" s="191"/>
      <c r="P342" s="163"/>
      <c r="Q342" s="163"/>
      <c r="R342" s="177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</row>
    <row r="343" spans="1:47" s="20" customFormat="1" ht="106.5" customHeight="1" x14ac:dyDescent="0.2">
      <c r="A343" s="122">
        <f t="shared" si="45"/>
        <v>332</v>
      </c>
      <c r="B343" s="120" t="s">
        <v>573</v>
      </c>
      <c r="C343" s="17" t="s">
        <v>13</v>
      </c>
      <c r="D343" s="120" t="s">
        <v>698</v>
      </c>
      <c r="E343" s="26" t="s">
        <v>8</v>
      </c>
      <c r="F343" s="26" t="s">
        <v>8</v>
      </c>
      <c r="G343" s="27">
        <v>42551</v>
      </c>
      <c r="H343" s="26"/>
      <c r="I343" s="26" t="s">
        <v>8</v>
      </c>
      <c r="J343" s="26" t="s">
        <v>8</v>
      </c>
      <c r="K343" s="26" t="s">
        <v>8</v>
      </c>
      <c r="L343" s="26" t="s">
        <v>8</v>
      </c>
      <c r="M343" s="26" t="s">
        <v>8</v>
      </c>
      <c r="N343" s="191"/>
      <c r="O343" s="191"/>
      <c r="P343" s="163"/>
      <c r="Q343" s="163"/>
      <c r="R343" s="177"/>
    </row>
    <row r="344" spans="1:47" s="20" customFormat="1" ht="99.75" customHeight="1" x14ac:dyDescent="0.2">
      <c r="A344" s="122">
        <f t="shared" si="45"/>
        <v>333</v>
      </c>
      <c r="B344" s="70" t="s">
        <v>212</v>
      </c>
      <c r="C344" s="71"/>
      <c r="D344" s="140" t="s">
        <v>698</v>
      </c>
      <c r="E344" s="80">
        <v>41640</v>
      </c>
      <c r="F344" s="80">
        <v>41640</v>
      </c>
      <c r="G344" s="80">
        <v>42735</v>
      </c>
      <c r="H344" s="101"/>
      <c r="I344" s="23">
        <f>I345</f>
        <v>400.36500000000001</v>
      </c>
      <c r="J344" s="23">
        <f t="shared" ref="J344:K344" si="51">J345</f>
        <v>120.11</v>
      </c>
      <c r="K344" s="23">
        <f t="shared" si="51"/>
        <v>0</v>
      </c>
      <c r="L344" s="23">
        <f>L345</f>
        <v>400.36500000000001</v>
      </c>
      <c r="M344" s="167" t="s">
        <v>213</v>
      </c>
      <c r="N344" s="190"/>
      <c r="O344" s="190"/>
      <c r="P344" s="163"/>
      <c r="Q344" s="163"/>
      <c r="R344" s="163" t="s">
        <v>630</v>
      </c>
    </row>
    <row r="345" spans="1:47" s="20" customFormat="1" ht="111.75" customHeight="1" x14ac:dyDescent="0.2">
      <c r="A345" s="122">
        <f t="shared" si="45"/>
        <v>334</v>
      </c>
      <c r="B345" s="71" t="s">
        <v>438</v>
      </c>
      <c r="C345" s="71"/>
      <c r="D345" s="140" t="s">
        <v>698</v>
      </c>
      <c r="E345" s="80">
        <v>41640</v>
      </c>
      <c r="F345" s="80">
        <v>41640</v>
      </c>
      <c r="G345" s="80">
        <v>42735</v>
      </c>
      <c r="H345" s="101"/>
      <c r="I345" s="24">
        <f>400365/1000</f>
        <v>400.36500000000001</v>
      </c>
      <c r="J345" s="24">
        <v>120.11</v>
      </c>
      <c r="K345" s="24">
        <v>0</v>
      </c>
      <c r="L345" s="24">
        <f>400365/1000</f>
        <v>400.36500000000001</v>
      </c>
      <c r="M345" s="166" t="s">
        <v>324</v>
      </c>
      <c r="N345" s="191"/>
      <c r="O345" s="191"/>
      <c r="P345" s="163" t="s">
        <v>664</v>
      </c>
      <c r="Q345" s="163" t="s">
        <v>627</v>
      </c>
      <c r="R345" s="180" t="s">
        <v>667</v>
      </c>
    </row>
    <row r="346" spans="1:47" s="20" customFormat="1" ht="106.5" customHeight="1" x14ac:dyDescent="0.2">
      <c r="A346" s="122">
        <f t="shared" si="45"/>
        <v>335</v>
      </c>
      <c r="B346" s="71" t="s">
        <v>214</v>
      </c>
      <c r="C346" s="71"/>
      <c r="D346" s="140" t="s">
        <v>698</v>
      </c>
      <c r="E346" s="80">
        <v>41640</v>
      </c>
      <c r="F346" s="80">
        <v>41640</v>
      </c>
      <c r="G346" s="80">
        <v>42735</v>
      </c>
      <c r="H346" s="53"/>
      <c r="I346" s="32">
        <v>0</v>
      </c>
      <c r="J346" s="24">
        <v>0</v>
      </c>
      <c r="K346" s="32">
        <v>0</v>
      </c>
      <c r="L346" s="32">
        <v>0</v>
      </c>
      <c r="M346" s="166" t="s">
        <v>215</v>
      </c>
      <c r="N346" s="191"/>
      <c r="O346" s="191"/>
      <c r="P346" s="163" t="s">
        <v>664</v>
      </c>
      <c r="Q346" s="163"/>
      <c r="R346" s="177"/>
    </row>
    <row r="347" spans="1:47" s="20" customFormat="1" ht="78.75" x14ac:dyDescent="0.2">
      <c r="A347" s="122">
        <f t="shared" si="45"/>
        <v>336</v>
      </c>
      <c r="B347" s="139" t="s">
        <v>574</v>
      </c>
      <c r="C347" s="81"/>
      <c r="D347" s="107" t="s">
        <v>698</v>
      </c>
      <c r="E347" s="27" t="s">
        <v>8</v>
      </c>
      <c r="F347" s="27" t="s">
        <v>8</v>
      </c>
      <c r="G347" s="27">
        <v>42004</v>
      </c>
      <c r="H347" s="26"/>
      <c r="I347" s="9" t="s">
        <v>8</v>
      </c>
      <c r="J347" s="9" t="s">
        <v>8</v>
      </c>
      <c r="K347" s="9" t="s">
        <v>8</v>
      </c>
      <c r="L347" s="9" t="s">
        <v>8</v>
      </c>
      <c r="M347" s="26" t="s">
        <v>8</v>
      </c>
      <c r="N347" s="191"/>
      <c r="O347" s="191"/>
      <c r="P347" s="161"/>
      <c r="Q347" s="161"/>
      <c r="R347" s="162"/>
    </row>
    <row r="348" spans="1:47" s="20" customFormat="1" ht="78.75" x14ac:dyDescent="0.2">
      <c r="A348" s="122">
        <f t="shared" si="45"/>
        <v>337</v>
      </c>
      <c r="B348" s="139" t="s">
        <v>575</v>
      </c>
      <c r="C348" s="81"/>
      <c r="D348" s="107" t="s">
        <v>698</v>
      </c>
      <c r="E348" s="27" t="s">
        <v>8</v>
      </c>
      <c r="F348" s="27" t="s">
        <v>8</v>
      </c>
      <c r="G348" s="27">
        <v>42369</v>
      </c>
      <c r="H348" s="26"/>
      <c r="I348" s="9" t="s">
        <v>8</v>
      </c>
      <c r="J348" s="9" t="s">
        <v>8</v>
      </c>
      <c r="K348" s="9" t="s">
        <v>8</v>
      </c>
      <c r="L348" s="9" t="s">
        <v>8</v>
      </c>
      <c r="M348" s="26" t="s">
        <v>8</v>
      </c>
      <c r="N348" s="191"/>
      <c r="O348" s="191"/>
      <c r="P348" s="161"/>
      <c r="Q348" s="161"/>
      <c r="R348" s="162"/>
    </row>
    <row r="349" spans="1:47" s="20" customFormat="1" ht="102" customHeight="1" x14ac:dyDescent="0.2">
      <c r="A349" s="122">
        <f t="shared" si="45"/>
        <v>338</v>
      </c>
      <c r="B349" s="139" t="s">
        <v>576</v>
      </c>
      <c r="C349" s="81"/>
      <c r="D349" s="107" t="s">
        <v>698</v>
      </c>
      <c r="E349" s="27" t="s">
        <v>8</v>
      </c>
      <c r="F349" s="27" t="s">
        <v>8</v>
      </c>
      <c r="G349" s="27">
        <v>42735</v>
      </c>
      <c r="H349" s="26"/>
      <c r="I349" s="9" t="s">
        <v>8</v>
      </c>
      <c r="J349" s="9" t="s">
        <v>8</v>
      </c>
      <c r="K349" s="9" t="s">
        <v>8</v>
      </c>
      <c r="L349" s="9" t="s">
        <v>8</v>
      </c>
      <c r="M349" s="26" t="s">
        <v>8</v>
      </c>
      <c r="N349" s="191"/>
      <c r="O349" s="191"/>
      <c r="P349" s="161"/>
      <c r="Q349" s="161"/>
      <c r="R349" s="162"/>
    </row>
    <row r="350" spans="1:47" s="20" customFormat="1" ht="87" customHeight="1" x14ac:dyDescent="0.2">
      <c r="A350" s="122">
        <f t="shared" si="45"/>
        <v>339</v>
      </c>
      <c r="B350" s="78" t="s">
        <v>216</v>
      </c>
      <c r="C350" s="72"/>
      <c r="D350" s="62" t="s">
        <v>698</v>
      </c>
      <c r="E350" s="79">
        <v>41640</v>
      </c>
      <c r="F350" s="165">
        <v>41640</v>
      </c>
      <c r="G350" s="79">
        <v>42735</v>
      </c>
      <c r="H350" s="101"/>
      <c r="I350" s="54">
        <f>SUM(I351:I352)</f>
        <v>4922.2089799999994</v>
      </c>
      <c r="J350" s="54">
        <f t="shared" ref="J350:K350" si="52">SUM(J351:J352)</f>
        <v>2656.85</v>
      </c>
      <c r="K350" s="54">
        <f t="shared" si="52"/>
        <v>0</v>
      </c>
      <c r="L350" s="54">
        <f>SUM(L351:L352)</f>
        <v>1922.2089799999999</v>
      </c>
      <c r="M350" s="171" t="s">
        <v>213</v>
      </c>
      <c r="N350" s="190"/>
      <c r="O350" s="190"/>
      <c r="P350" s="163"/>
      <c r="Q350" s="163"/>
      <c r="R350" s="163" t="s">
        <v>630</v>
      </c>
    </row>
    <row r="351" spans="1:47" ht="94.5" x14ac:dyDescent="0.2">
      <c r="A351" s="122">
        <f t="shared" si="45"/>
        <v>340</v>
      </c>
      <c r="B351" s="72" t="s">
        <v>439</v>
      </c>
      <c r="C351" s="72"/>
      <c r="D351" s="62" t="s">
        <v>698</v>
      </c>
      <c r="E351" s="79">
        <v>41640</v>
      </c>
      <c r="F351" s="165">
        <v>41640</v>
      </c>
      <c r="G351" s="79">
        <v>42735</v>
      </c>
      <c r="H351" s="101"/>
      <c r="I351" s="63">
        <f>1922208.98/1000</f>
        <v>1922.2089799999999</v>
      </c>
      <c r="J351" s="63">
        <v>1456.85</v>
      </c>
      <c r="K351" s="63">
        <v>0</v>
      </c>
      <c r="L351" s="63">
        <f>1922208.98/1000</f>
        <v>1922.2089799999999</v>
      </c>
      <c r="M351" s="175" t="s">
        <v>325</v>
      </c>
      <c r="N351" s="191"/>
      <c r="O351" s="191"/>
      <c r="P351" s="163" t="s">
        <v>664</v>
      </c>
      <c r="Q351" s="163" t="s">
        <v>650</v>
      </c>
      <c r="R351" s="180" t="s">
        <v>667</v>
      </c>
    </row>
    <row r="352" spans="1:47" ht="84" customHeight="1" x14ac:dyDescent="0.2">
      <c r="A352" s="122">
        <f t="shared" si="45"/>
        <v>341</v>
      </c>
      <c r="B352" s="73" t="s">
        <v>217</v>
      </c>
      <c r="C352" s="71"/>
      <c r="D352" s="62" t="s">
        <v>698</v>
      </c>
      <c r="E352" s="80">
        <v>41640</v>
      </c>
      <c r="F352" s="80">
        <v>41640</v>
      </c>
      <c r="G352" s="119">
        <v>42004</v>
      </c>
      <c r="H352" s="101"/>
      <c r="I352" s="63">
        <f>3000000/1000</f>
        <v>3000</v>
      </c>
      <c r="J352" s="63">
        <v>1200</v>
      </c>
      <c r="K352" s="63">
        <v>0</v>
      </c>
      <c r="L352" s="63">
        <v>0</v>
      </c>
      <c r="M352" s="175" t="s">
        <v>274</v>
      </c>
      <c r="N352" s="191"/>
      <c r="O352" s="191"/>
      <c r="P352" s="163" t="s">
        <v>664</v>
      </c>
      <c r="Q352" s="163" t="s">
        <v>627</v>
      </c>
      <c r="R352" s="177"/>
    </row>
    <row r="353" spans="1:47" ht="104.25" customHeight="1" x14ac:dyDescent="0.2">
      <c r="A353" s="122">
        <f t="shared" si="45"/>
        <v>342</v>
      </c>
      <c r="B353" s="139" t="s">
        <v>577</v>
      </c>
      <c r="C353" s="120"/>
      <c r="D353" s="120" t="s">
        <v>698</v>
      </c>
      <c r="E353" s="27" t="s">
        <v>8</v>
      </c>
      <c r="F353" s="27" t="s">
        <v>8</v>
      </c>
      <c r="G353" s="27">
        <v>42004</v>
      </c>
      <c r="H353" s="26"/>
      <c r="I353" s="26" t="s">
        <v>8</v>
      </c>
      <c r="J353" s="26" t="s">
        <v>8</v>
      </c>
      <c r="K353" s="26" t="s">
        <v>8</v>
      </c>
      <c r="L353" s="26" t="s">
        <v>8</v>
      </c>
      <c r="M353" s="26" t="s">
        <v>8</v>
      </c>
      <c r="N353" s="191"/>
      <c r="O353" s="191"/>
      <c r="P353" s="163"/>
      <c r="Q353" s="163"/>
      <c r="R353" s="177"/>
    </row>
    <row r="354" spans="1:47" s="14" customFormat="1" ht="100.5" customHeight="1" x14ac:dyDescent="0.2">
      <c r="A354" s="122">
        <f t="shared" si="45"/>
        <v>343</v>
      </c>
      <c r="B354" s="139" t="s">
        <v>578</v>
      </c>
      <c r="C354" s="81"/>
      <c r="D354" s="107" t="s">
        <v>698</v>
      </c>
      <c r="E354" s="27" t="s">
        <v>8</v>
      </c>
      <c r="F354" s="27" t="s">
        <v>8</v>
      </c>
      <c r="G354" s="27">
        <v>42369</v>
      </c>
      <c r="H354" s="26"/>
      <c r="I354" s="26" t="s">
        <v>8</v>
      </c>
      <c r="J354" s="26" t="s">
        <v>8</v>
      </c>
      <c r="K354" s="26" t="s">
        <v>8</v>
      </c>
      <c r="L354" s="26" t="s">
        <v>8</v>
      </c>
      <c r="M354" s="26" t="s">
        <v>8</v>
      </c>
      <c r="N354" s="191"/>
      <c r="O354" s="191"/>
      <c r="P354" s="163"/>
      <c r="Q354" s="163"/>
      <c r="R354" s="177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</row>
    <row r="355" spans="1:47" ht="78.75" x14ac:dyDescent="0.2">
      <c r="A355" s="122">
        <f t="shared" si="45"/>
        <v>344</v>
      </c>
      <c r="B355" s="139" t="s">
        <v>579</v>
      </c>
      <c r="C355" s="81"/>
      <c r="D355" s="107" t="s">
        <v>698</v>
      </c>
      <c r="E355" s="27" t="s">
        <v>8</v>
      </c>
      <c r="F355" s="27" t="s">
        <v>8</v>
      </c>
      <c r="G355" s="27">
        <v>42735</v>
      </c>
      <c r="H355" s="26"/>
      <c r="I355" s="26" t="s">
        <v>8</v>
      </c>
      <c r="J355" s="26" t="s">
        <v>8</v>
      </c>
      <c r="K355" s="26" t="s">
        <v>8</v>
      </c>
      <c r="L355" s="26" t="s">
        <v>8</v>
      </c>
      <c r="M355" s="26" t="s">
        <v>8</v>
      </c>
      <c r="N355" s="191"/>
      <c r="O355" s="191"/>
      <c r="P355" s="163"/>
      <c r="Q355" s="163"/>
      <c r="R355" s="177"/>
    </row>
    <row r="356" spans="1:47" ht="103.5" customHeight="1" x14ac:dyDescent="0.2">
      <c r="A356" s="122">
        <f t="shared" si="45"/>
        <v>345</v>
      </c>
      <c r="B356" s="70" t="s">
        <v>218</v>
      </c>
      <c r="C356" s="71"/>
      <c r="D356" s="140" t="s">
        <v>698</v>
      </c>
      <c r="E356" s="80">
        <v>41640</v>
      </c>
      <c r="F356" s="80">
        <v>41640</v>
      </c>
      <c r="G356" s="80">
        <v>42735</v>
      </c>
      <c r="H356" s="101"/>
      <c r="I356" s="23">
        <f>I357</f>
        <v>3491.05</v>
      </c>
      <c r="J356" s="23">
        <f t="shared" ref="J356:K356" si="53">J357</f>
        <v>3491.05</v>
      </c>
      <c r="K356" s="23">
        <f t="shared" si="53"/>
        <v>1396.25</v>
      </c>
      <c r="L356" s="23">
        <f>L357</f>
        <v>781.18499999999995</v>
      </c>
      <c r="M356" s="167" t="s">
        <v>213</v>
      </c>
      <c r="N356" s="190"/>
      <c r="O356" s="190"/>
      <c r="P356" s="163"/>
      <c r="Q356" s="163"/>
      <c r="R356" s="163" t="s">
        <v>630</v>
      </c>
    </row>
    <row r="357" spans="1:47" s="11" customFormat="1" ht="78.75" x14ac:dyDescent="0.2">
      <c r="A357" s="122">
        <f t="shared" si="45"/>
        <v>346</v>
      </c>
      <c r="B357" s="71" t="s">
        <v>440</v>
      </c>
      <c r="C357" s="71"/>
      <c r="D357" s="140" t="s">
        <v>698</v>
      </c>
      <c r="E357" s="80">
        <v>41640</v>
      </c>
      <c r="F357" s="80">
        <v>41640</v>
      </c>
      <c r="G357" s="80">
        <v>42735</v>
      </c>
      <c r="H357" s="101"/>
      <c r="I357" s="25">
        <f>3491050/1000</f>
        <v>3491.05</v>
      </c>
      <c r="J357" s="25">
        <v>3491.05</v>
      </c>
      <c r="K357" s="25">
        <v>1396.25</v>
      </c>
      <c r="L357" s="24">
        <f>781185/1000</f>
        <v>781.18499999999995</v>
      </c>
      <c r="M357" s="166" t="s">
        <v>326</v>
      </c>
      <c r="N357" s="191"/>
      <c r="O357" s="191"/>
      <c r="P357" s="163" t="s">
        <v>626</v>
      </c>
      <c r="Q357" s="163" t="s">
        <v>627</v>
      </c>
      <c r="R357" s="181" t="s">
        <v>668</v>
      </c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  <c r="AJ357" s="40"/>
      <c r="AK357" s="40"/>
      <c r="AL357" s="40"/>
      <c r="AM357" s="40"/>
      <c r="AN357" s="40"/>
      <c r="AO357" s="40"/>
      <c r="AP357" s="40"/>
      <c r="AQ357" s="40"/>
      <c r="AR357" s="40"/>
      <c r="AS357" s="40"/>
      <c r="AT357" s="40"/>
      <c r="AU357" s="40"/>
    </row>
    <row r="358" spans="1:47" s="11" customFormat="1" ht="99.75" customHeight="1" x14ac:dyDescent="0.2">
      <c r="A358" s="122">
        <f t="shared" si="45"/>
        <v>347</v>
      </c>
      <c r="B358" s="71" t="s">
        <v>219</v>
      </c>
      <c r="C358" s="71"/>
      <c r="D358" s="140" t="s">
        <v>698</v>
      </c>
      <c r="E358" s="80">
        <v>41640</v>
      </c>
      <c r="F358" s="80">
        <v>41640</v>
      </c>
      <c r="G358" s="80">
        <v>42735</v>
      </c>
      <c r="H358" s="53"/>
      <c r="I358" s="24">
        <v>0</v>
      </c>
      <c r="J358" s="24">
        <v>0</v>
      </c>
      <c r="K358" s="24">
        <v>0</v>
      </c>
      <c r="L358" s="24">
        <v>0</v>
      </c>
      <c r="M358" s="166" t="s">
        <v>220</v>
      </c>
      <c r="N358" s="191"/>
      <c r="O358" s="191"/>
      <c r="P358" s="163" t="s">
        <v>626</v>
      </c>
      <c r="Q358" s="163"/>
      <c r="R358" s="181" t="s">
        <v>638</v>
      </c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  <c r="AJ358" s="40"/>
      <c r="AK358" s="40"/>
      <c r="AL358" s="40"/>
      <c r="AM358" s="40"/>
      <c r="AN358" s="40"/>
      <c r="AO358" s="40"/>
      <c r="AP358" s="40"/>
      <c r="AQ358" s="40"/>
      <c r="AR358" s="40"/>
      <c r="AS358" s="40"/>
      <c r="AT358" s="40"/>
      <c r="AU358" s="40"/>
    </row>
    <row r="359" spans="1:47" ht="108" customHeight="1" x14ac:dyDescent="0.2">
      <c r="A359" s="122">
        <f t="shared" si="45"/>
        <v>348</v>
      </c>
      <c r="B359" s="139" t="s">
        <v>580</v>
      </c>
      <c r="C359" s="81"/>
      <c r="D359" s="107" t="s">
        <v>698</v>
      </c>
      <c r="E359" s="27" t="s">
        <v>8</v>
      </c>
      <c r="F359" s="27" t="s">
        <v>8</v>
      </c>
      <c r="G359" s="27">
        <v>42004</v>
      </c>
      <c r="H359" s="26"/>
      <c r="I359" s="26" t="s">
        <v>8</v>
      </c>
      <c r="J359" s="26" t="s">
        <v>8</v>
      </c>
      <c r="K359" s="26" t="s">
        <v>8</v>
      </c>
      <c r="L359" s="26" t="s">
        <v>8</v>
      </c>
      <c r="M359" s="26" t="s">
        <v>8</v>
      </c>
      <c r="N359" s="191"/>
      <c r="O359" s="191"/>
      <c r="P359" s="163"/>
      <c r="Q359" s="163"/>
      <c r="R359" s="177"/>
    </row>
    <row r="360" spans="1:47" s="11" customFormat="1" ht="100.5" customHeight="1" x14ac:dyDescent="0.2">
      <c r="A360" s="122">
        <f t="shared" si="45"/>
        <v>349</v>
      </c>
      <c r="B360" s="139" t="s">
        <v>581</v>
      </c>
      <c r="C360" s="81"/>
      <c r="D360" s="107" t="s">
        <v>698</v>
      </c>
      <c r="E360" s="27" t="s">
        <v>8</v>
      </c>
      <c r="F360" s="27" t="s">
        <v>8</v>
      </c>
      <c r="G360" s="27">
        <v>42369</v>
      </c>
      <c r="H360" s="26"/>
      <c r="I360" s="26" t="s">
        <v>8</v>
      </c>
      <c r="J360" s="26" t="s">
        <v>8</v>
      </c>
      <c r="K360" s="26" t="s">
        <v>8</v>
      </c>
      <c r="L360" s="26" t="s">
        <v>8</v>
      </c>
      <c r="M360" s="26" t="s">
        <v>8</v>
      </c>
      <c r="N360" s="191"/>
      <c r="O360" s="191"/>
      <c r="P360" s="163"/>
      <c r="Q360" s="163"/>
      <c r="R360" s="177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  <c r="AK360" s="40"/>
      <c r="AL360" s="40"/>
      <c r="AM360" s="40"/>
      <c r="AN360" s="40"/>
      <c r="AO360" s="40"/>
      <c r="AP360" s="40"/>
      <c r="AQ360" s="40"/>
      <c r="AR360" s="40"/>
      <c r="AS360" s="40"/>
      <c r="AT360" s="40"/>
      <c r="AU360" s="40"/>
    </row>
    <row r="361" spans="1:47" ht="97.5" customHeight="1" x14ac:dyDescent="0.2">
      <c r="A361" s="122">
        <f t="shared" si="45"/>
        <v>350</v>
      </c>
      <c r="B361" s="139" t="s">
        <v>582</v>
      </c>
      <c r="C361" s="81"/>
      <c r="D361" s="107" t="s">
        <v>698</v>
      </c>
      <c r="E361" s="27" t="s">
        <v>8</v>
      </c>
      <c r="F361" s="27" t="s">
        <v>8</v>
      </c>
      <c r="G361" s="27">
        <v>42735</v>
      </c>
      <c r="H361" s="26"/>
      <c r="I361" s="26" t="s">
        <v>8</v>
      </c>
      <c r="J361" s="26" t="s">
        <v>8</v>
      </c>
      <c r="K361" s="26" t="s">
        <v>8</v>
      </c>
      <c r="L361" s="26" t="s">
        <v>8</v>
      </c>
      <c r="M361" s="26" t="s">
        <v>8</v>
      </c>
      <c r="N361" s="191"/>
      <c r="O361" s="191"/>
      <c r="P361" s="163"/>
      <c r="Q361" s="163"/>
      <c r="R361" s="177"/>
    </row>
    <row r="362" spans="1:47" ht="15.75" customHeight="1" x14ac:dyDescent="0.2">
      <c r="A362" s="212">
        <f>A361+1</f>
        <v>351</v>
      </c>
      <c r="B362" s="280" t="s">
        <v>221</v>
      </c>
      <c r="C362" s="281"/>
      <c r="D362" s="281"/>
      <c r="E362" s="281"/>
      <c r="F362" s="281"/>
      <c r="G362" s="281"/>
      <c r="H362" s="282"/>
      <c r="I362" s="30">
        <f>I356+I350+I344+I338+I332+I326+I320+I314</f>
        <v>29028.156139999999</v>
      </c>
      <c r="J362" s="30">
        <f>J356+J350+J344+J338+J332+J326+J320+J314</f>
        <v>12601.79</v>
      </c>
      <c r="K362" s="30">
        <f>K356+K350+K344+K338+K332+K326+K320+K314</f>
        <v>2624.85</v>
      </c>
      <c r="L362" s="30">
        <f>L356+L350+L344+L332+L326+L320+L314+L308</f>
        <v>15035.703559999998</v>
      </c>
      <c r="M362" s="205"/>
      <c r="N362" s="190"/>
      <c r="O362" s="190"/>
      <c r="P362" s="201"/>
      <c r="Q362" s="201"/>
      <c r="R362" s="201"/>
    </row>
    <row r="363" spans="1:47" s="14" customFormat="1" ht="20.25" customHeight="1" x14ac:dyDescent="0.2">
      <c r="A363" s="85">
        <f>A362+1</f>
        <v>352</v>
      </c>
      <c r="B363" s="270" t="s">
        <v>222</v>
      </c>
      <c r="C363" s="271"/>
      <c r="D363" s="271"/>
      <c r="E363" s="271"/>
      <c r="F363" s="271"/>
      <c r="G363" s="271"/>
      <c r="H363" s="271"/>
      <c r="I363" s="271"/>
      <c r="J363" s="271"/>
      <c r="K363" s="271"/>
      <c r="L363" s="272"/>
      <c r="M363" s="168"/>
      <c r="N363" s="198"/>
      <c r="O363" s="198"/>
      <c r="P363" s="201"/>
      <c r="Q363" s="201"/>
      <c r="R363" s="201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</row>
    <row r="364" spans="1:47" s="14" customFormat="1" ht="138" customHeight="1" x14ac:dyDescent="0.2">
      <c r="A364" s="115">
        <f>A363+1</f>
        <v>353</v>
      </c>
      <c r="B364" s="78" t="s">
        <v>223</v>
      </c>
      <c r="C364" s="72"/>
      <c r="D364" s="62" t="s">
        <v>700</v>
      </c>
      <c r="E364" s="79">
        <v>41640</v>
      </c>
      <c r="F364" s="165">
        <v>41640</v>
      </c>
      <c r="G364" s="79">
        <v>42735</v>
      </c>
      <c r="H364" s="101"/>
      <c r="I364" s="54">
        <f>I365</f>
        <v>7411.68</v>
      </c>
      <c r="J364" s="54">
        <f t="shared" ref="J364:K364" si="54">J365</f>
        <v>5562</v>
      </c>
      <c r="K364" s="54">
        <f t="shared" si="54"/>
        <v>0</v>
      </c>
      <c r="L364" s="54">
        <f>L365</f>
        <v>7512.04</v>
      </c>
      <c r="M364" s="171" t="s">
        <v>224</v>
      </c>
      <c r="N364" s="190"/>
      <c r="O364" s="190"/>
      <c r="P364" s="163"/>
      <c r="Q364" s="163"/>
      <c r="R364" s="163" t="s">
        <v>625</v>
      </c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</row>
    <row r="365" spans="1:47" s="14" customFormat="1" ht="94.5" x14ac:dyDescent="0.2">
      <c r="A365" s="122">
        <f t="shared" ref="A365:A393" si="55">A364+1</f>
        <v>354</v>
      </c>
      <c r="B365" s="72" t="s">
        <v>441</v>
      </c>
      <c r="C365" s="72"/>
      <c r="D365" s="62" t="s">
        <v>700</v>
      </c>
      <c r="E365" s="79">
        <v>41640</v>
      </c>
      <c r="F365" s="165">
        <v>41640</v>
      </c>
      <c r="G365" s="79">
        <v>42735</v>
      </c>
      <c r="H365" s="101"/>
      <c r="I365" s="63">
        <v>7411.68</v>
      </c>
      <c r="J365" s="63">
        <v>5562</v>
      </c>
      <c r="K365" s="63">
        <v>0</v>
      </c>
      <c r="L365" s="63">
        <v>7512.04</v>
      </c>
      <c r="M365" s="164" t="s">
        <v>328</v>
      </c>
      <c r="N365" s="191"/>
      <c r="O365" s="191"/>
      <c r="P365" s="163" t="s">
        <v>656</v>
      </c>
      <c r="Q365" s="163" t="s">
        <v>650</v>
      </c>
      <c r="R365" s="180" t="s">
        <v>657</v>
      </c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</row>
    <row r="366" spans="1:47" s="14" customFormat="1" ht="132" customHeight="1" x14ac:dyDescent="0.2">
      <c r="A366" s="122">
        <f t="shared" si="55"/>
        <v>355</v>
      </c>
      <c r="B366" s="73" t="s">
        <v>442</v>
      </c>
      <c r="C366" s="73"/>
      <c r="D366" s="62" t="s">
        <v>700</v>
      </c>
      <c r="E366" s="118">
        <v>41640</v>
      </c>
      <c r="F366" s="165">
        <v>41640</v>
      </c>
      <c r="G366" s="118">
        <v>42735</v>
      </c>
      <c r="H366" s="116"/>
      <c r="I366" s="59">
        <v>0</v>
      </c>
      <c r="J366" s="59">
        <v>0</v>
      </c>
      <c r="K366" s="59">
        <v>0</v>
      </c>
      <c r="L366" s="59">
        <v>0</v>
      </c>
      <c r="M366" s="175" t="s">
        <v>327</v>
      </c>
      <c r="N366" s="191"/>
      <c r="O366" s="191"/>
      <c r="P366" s="163"/>
      <c r="Q366" s="163" t="s">
        <v>650</v>
      </c>
      <c r="R366" s="177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</row>
    <row r="367" spans="1:47" s="14" customFormat="1" ht="126" customHeight="1" x14ac:dyDescent="0.2">
      <c r="A367" s="122">
        <f t="shared" si="55"/>
        <v>356</v>
      </c>
      <c r="B367" s="139" t="s">
        <v>583</v>
      </c>
      <c r="C367" s="17" t="s">
        <v>13</v>
      </c>
      <c r="D367" s="107" t="s">
        <v>700</v>
      </c>
      <c r="E367" s="26" t="s">
        <v>8</v>
      </c>
      <c r="F367" s="26" t="s">
        <v>8</v>
      </c>
      <c r="G367" s="27">
        <v>42004</v>
      </c>
      <c r="H367" s="26"/>
      <c r="I367" s="26" t="s">
        <v>8</v>
      </c>
      <c r="J367" s="26" t="s">
        <v>8</v>
      </c>
      <c r="K367" s="26" t="s">
        <v>8</v>
      </c>
      <c r="L367" s="26" t="s">
        <v>8</v>
      </c>
      <c r="M367" s="26" t="s">
        <v>8</v>
      </c>
      <c r="N367" s="191"/>
      <c r="O367" s="191"/>
      <c r="P367" s="163"/>
      <c r="Q367" s="163"/>
      <c r="R367" s="177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</row>
    <row r="368" spans="1:47" ht="131.25" customHeight="1" x14ac:dyDescent="0.2">
      <c r="A368" s="122">
        <f t="shared" si="55"/>
        <v>357</v>
      </c>
      <c r="B368" s="139" t="s">
        <v>584</v>
      </c>
      <c r="C368" s="17" t="s">
        <v>13</v>
      </c>
      <c r="D368" s="107" t="s">
        <v>700</v>
      </c>
      <c r="E368" s="26" t="s">
        <v>8</v>
      </c>
      <c r="F368" s="26" t="s">
        <v>8</v>
      </c>
      <c r="G368" s="27">
        <v>42369</v>
      </c>
      <c r="H368" s="26"/>
      <c r="I368" s="26" t="s">
        <v>8</v>
      </c>
      <c r="J368" s="26" t="s">
        <v>8</v>
      </c>
      <c r="K368" s="26" t="s">
        <v>8</v>
      </c>
      <c r="L368" s="26" t="s">
        <v>8</v>
      </c>
      <c r="M368" s="26" t="s">
        <v>8</v>
      </c>
      <c r="N368" s="191"/>
      <c r="O368" s="191"/>
      <c r="P368" s="163"/>
      <c r="Q368" s="163"/>
      <c r="R368" s="177"/>
    </row>
    <row r="369" spans="1:47" ht="126.75" customHeight="1" x14ac:dyDescent="0.2">
      <c r="A369" s="122">
        <f t="shared" si="55"/>
        <v>358</v>
      </c>
      <c r="B369" s="139" t="s">
        <v>585</v>
      </c>
      <c r="C369" s="17" t="s">
        <v>13</v>
      </c>
      <c r="D369" s="107" t="s">
        <v>700</v>
      </c>
      <c r="E369" s="26" t="s">
        <v>8</v>
      </c>
      <c r="F369" s="26" t="s">
        <v>8</v>
      </c>
      <c r="G369" s="27">
        <v>42735</v>
      </c>
      <c r="H369" s="26"/>
      <c r="I369" s="26" t="s">
        <v>8</v>
      </c>
      <c r="J369" s="26" t="s">
        <v>8</v>
      </c>
      <c r="K369" s="26" t="s">
        <v>8</v>
      </c>
      <c r="L369" s="26" t="s">
        <v>8</v>
      </c>
      <c r="M369" s="26" t="s">
        <v>8</v>
      </c>
      <c r="N369" s="191"/>
      <c r="O369" s="191"/>
      <c r="P369" s="163"/>
      <c r="Q369" s="163"/>
      <c r="R369" s="177"/>
    </row>
    <row r="370" spans="1:47" ht="104.25" customHeight="1" x14ac:dyDescent="0.2">
      <c r="A370" s="145">
        <f t="shared" si="55"/>
        <v>359</v>
      </c>
      <c r="B370" s="52" t="s">
        <v>491</v>
      </c>
      <c r="C370" s="135"/>
      <c r="D370" s="135" t="s">
        <v>698</v>
      </c>
      <c r="E370" s="149">
        <v>41640</v>
      </c>
      <c r="F370" s="172">
        <v>41640</v>
      </c>
      <c r="G370" s="149">
        <v>42735</v>
      </c>
      <c r="H370" s="146"/>
      <c r="I370" s="152">
        <v>0</v>
      </c>
      <c r="J370" s="152">
        <v>0</v>
      </c>
      <c r="K370" s="152">
        <v>0</v>
      </c>
      <c r="L370" s="152">
        <v>0</v>
      </c>
      <c r="M370" s="137" t="s">
        <v>494</v>
      </c>
      <c r="N370" s="190"/>
      <c r="O370" s="190"/>
      <c r="P370" s="163"/>
      <c r="Q370" s="163"/>
      <c r="R370" s="163" t="s">
        <v>636</v>
      </c>
    </row>
    <row r="371" spans="1:47" ht="113.25" customHeight="1" x14ac:dyDescent="0.2">
      <c r="A371" s="153">
        <f>A370+1</f>
        <v>360</v>
      </c>
      <c r="B371" s="73" t="s">
        <v>615</v>
      </c>
      <c r="C371" s="62"/>
      <c r="D371" s="135" t="s">
        <v>698</v>
      </c>
      <c r="E371" s="149">
        <v>41640</v>
      </c>
      <c r="F371" s="172">
        <v>41640</v>
      </c>
      <c r="G371" s="149">
        <v>42735</v>
      </c>
      <c r="H371" s="147"/>
      <c r="I371" s="66">
        <v>0</v>
      </c>
      <c r="J371" s="66">
        <v>0</v>
      </c>
      <c r="K371" s="66">
        <v>0</v>
      </c>
      <c r="L371" s="66">
        <v>0</v>
      </c>
      <c r="M371" s="164" t="s">
        <v>621</v>
      </c>
      <c r="N371" s="191"/>
      <c r="O371" s="191"/>
      <c r="P371" s="163" t="s">
        <v>626</v>
      </c>
      <c r="Q371" s="163"/>
      <c r="R371" s="177"/>
    </row>
    <row r="372" spans="1:47" ht="117" customHeight="1" x14ac:dyDescent="0.2">
      <c r="A372" s="153">
        <f t="shared" si="55"/>
        <v>361</v>
      </c>
      <c r="B372" s="73" t="s">
        <v>616</v>
      </c>
      <c r="C372" s="62"/>
      <c r="D372" s="135" t="s">
        <v>698</v>
      </c>
      <c r="E372" s="149">
        <v>41640</v>
      </c>
      <c r="F372" s="172">
        <v>41640</v>
      </c>
      <c r="G372" s="149">
        <v>42735</v>
      </c>
      <c r="H372" s="147"/>
      <c r="I372" s="66">
        <v>0</v>
      </c>
      <c r="J372" s="66">
        <v>0</v>
      </c>
      <c r="K372" s="66">
        <v>0</v>
      </c>
      <c r="L372" s="66">
        <v>0</v>
      </c>
      <c r="M372" s="175" t="s">
        <v>617</v>
      </c>
      <c r="N372" s="191"/>
      <c r="O372" s="191"/>
      <c r="P372" s="163" t="s">
        <v>626</v>
      </c>
      <c r="Q372" s="163"/>
      <c r="R372" s="177"/>
    </row>
    <row r="373" spans="1:47" ht="118.5" customHeight="1" x14ac:dyDescent="0.2">
      <c r="A373" s="154">
        <f t="shared" si="55"/>
        <v>362</v>
      </c>
      <c r="B373" s="139" t="s">
        <v>618</v>
      </c>
      <c r="C373" s="18"/>
      <c r="D373" s="139" t="s">
        <v>698</v>
      </c>
      <c r="E373" s="26" t="s">
        <v>8</v>
      </c>
      <c r="F373" s="26" t="s">
        <v>8</v>
      </c>
      <c r="G373" s="27">
        <v>42004</v>
      </c>
      <c r="H373" s="26"/>
      <c r="I373" s="26" t="s">
        <v>8</v>
      </c>
      <c r="J373" s="26" t="s">
        <v>8</v>
      </c>
      <c r="K373" s="26" t="s">
        <v>8</v>
      </c>
      <c r="L373" s="26" t="s">
        <v>8</v>
      </c>
      <c r="M373" s="26" t="s">
        <v>8</v>
      </c>
      <c r="N373" s="191"/>
      <c r="O373" s="191"/>
      <c r="P373" s="163"/>
      <c r="Q373" s="163"/>
      <c r="R373" s="177"/>
    </row>
    <row r="374" spans="1:47" ht="126.75" customHeight="1" x14ac:dyDescent="0.2">
      <c r="A374" s="153">
        <f t="shared" si="55"/>
        <v>363</v>
      </c>
      <c r="B374" s="139" t="s">
        <v>619</v>
      </c>
      <c r="C374" s="18"/>
      <c r="D374" s="139" t="s">
        <v>698</v>
      </c>
      <c r="E374" s="26" t="s">
        <v>8</v>
      </c>
      <c r="F374" s="26" t="s">
        <v>8</v>
      </c>
      <c r="G374" s="27">
        <v>42369</v>
      </c>
      <c r="H374" s="26"/>
      <c r="I374" s="26" t="s">
        <v>8</v>
      </c>
      <c r="J374" s="26" t="s">
        <v>8</v>
      </c>
      <c r="K374" s="26" t="s">
        <v>8</v>
      </c>
      <c r="L374" s="26" t="s">
        <v>8</v>
      </c>
      <c r="M374" s="26" t="s">
        <v>8</v>
      </c>
      <c r="N374" s="191"/>
      <c r="O374" s="191"/>
      <c r="P374" s="163"/>
      <c r="Q374" s="163"/>
      <c r="R374" s="177"/>
    </row>
    <row r="375" spans="1:47" ht="126.75" customHeight="1" x14ac:dyDescent="0.2">
      <c r="A375" s="153">
        <f>A374+1</f>
        <v>364</v>
      </c>
      <c r="B375" s="139" t="s">
        <v>620</v>
      </c>
      <c r="C375" s="18"/>
      <c r="D375" s="139" t="s">
        <v>698</v>
      </c>
      <c r="E375" s="26" t="s">
        <v>8</v>
      </c>
      <c r="F375" s="26" t="s">
        <v>8</v>
      </c>
      <c r="G375" s="27">
        <v>42735</v>
      </c>
      <c r="H375" s="26"/>
      <c r="I375" s="26" t="s">
        <v>8</v>
      </c>
      <c r="J375" s="26" t="s">
        <v>8</v>
      </c>
      <c r="K375" s="26" t="s">
        <v>8</v>
      </c>
      <c r="L375" s="26" t="s">
        <v>8</v>
      </c>
      <c r="M375" s="26" t="s">
        <v>8</v>
      </c>
      <c r="N375" s="191"/>
      <c r="O375" s="191"/>
      <c r="P375" s="163"/>
      <c r="Q375" s="163"/>
      <c r="R375" s="177"/>
    </row>
    <row r="376" spans="1:47" s="14" customFormat="1" ht="157.5" x14ac:dyDescent="0.2">
      <c r="A376" s="145">
        <f>A375+1</f>
        <v>365</v>
      </c>
      <c r="B376" s="52" t="s">
        <v>388</v>
      </c>
      <c r="C376" s="62"/>
      <c r="D376" s="106" t="s">
        <v>700</v>
      </c>
      <c r="E376" s="105">
        <v>41640</v>
      </c>
      <c r="F376" s="172">
        <v>41640</v>
      </c>
      <c r="G376" s="105">
        <v>42735</v>
      </c>
      <c r="H376" s="75"/>
      <c r="I376" s="110">
        <v>0</v>
      </c>
      <c r="J376" s="110">
        <v>0</v>
      </c>
      <c r="K376" s="110">
        <v>0</v>
      </c>
      <c r="L376" s="110">
        <v>0</v>
      </c>
      <c r="M376" s="171" t="s">
        <v>224</v>
      </c>
      <c r="N376" s="190"/>
      <c r="O376" s="190"/>
      <c r="P376" s="163"/>
      <c r="Q376" s="163"/>
      <c r="R376" s="163" t="s">
        <v>625</v>
      </c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</row>
    <row r="377" spans="1:47" s="125" customFormat="1" ht="136.5" customHeight="1" x14ac:dyDescent="0.2">
      <c r="A377" s="122">
        <f>A376+1</f>
        <v>366</v>
      </c>
      <c r="B377" s="73" t="s">
        <v>443</v>
      </c>
      <c r="C377" s="62"/>
      <c r="D377" s="106" t="s">
        <v>700</v>
      </c>
      <c r="E377" s="105">
        <v>41640</v>
      </c>
      <c r="F377" s="172">
        <v>41640</v>
      </c>
      <c r="G377" s="105">
        <v>42735</v>
      </c>
      <c r="H377" s="116"/>
      <c r="I377" s="66">
        <v>0</v>
      </c>
      <c r="J377" s="66">
        <v>0</v>
      </c>
      <c r="K377" s="66">
        <v>0</v>
      </c>
      <c r="L377" s="66">
        <v>0</v>
      </c>
      <c r="M377" s="164" t="s">
        <v>260</v>
      </c>
      <c r="N377" s="191"/>
      <c r="O377" s="191"/>
      <c r="P377" s="163" t="s">
        <v>656</v>
      </c>
      <c r="Q377" s="163"/>
      <c r="R377" s="177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7" s="14" customFormat="1" ht="132" customHeight="1" x14ac:dyDescent="0.2">
      <c r="A378" s="122">
        <f t="shared" si="55"/>
        <v>367</v>
      </c>
      <c r="B378" s="73" t="s">
        <v>444</v>
      </c>
      <c r="C378" s="62"/>
      <c r="D378" s="106" t="s">
        <v>700</v>
      </c>
      <c r="E378" s="105">
        <v>41640</v>
      </c>
      <c r="F378" s="172">
        <v>41640</v>
      </c>
      <c r="G378" s="105">
        <v>42735</v>
      </c>
      <c r="H378" s="116"/>
      <c r="I378" s="66">
        <v>0</v>
      </c>
      <c r="J378" s="66">
        <v>0</v>
      </c>
      <c r="K378" s="66">
        <v>0</v>
      </c>
      <c r="L378" s="66">
        <v>0</v>
      </c>
      <c r="M378" s="164" t="s">
        <v>260</v>
      </c>
      <c r="N378" s="191"/>
      <c r="O378" s="191"/>
      <c r="P378" s="163" t="s">
        <v>656</v>
      </c>
      <c r="Q378" s="163"/>
      <c r="R378" s="177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</row>
    <row r="379" spans="1:47" s="14" customFormat="1" ht="132" customHeight="1" x14ac:dyDescent="0.2">
      <c r="A379" s="122">
        <f t="shared" si="55"/>
        <v>368</v>
      </c>
      <c r="B379" s="139" t="s">
        <v>586</v>
      </c>
      <c r="C379" s="18"/>
      <c r="D379" s="107" t="s">
        <v>700</v>
      </c>
      <c r="E379" s="26" t="s">
        <v>8</v>
      </c>
      <c r="F379" s="26" t="s">
        <v>8</v>
      </c>
      <c r="G379" s="27">
        <v>42004</v>
      </c>
      <c r="H379" s="26"/>
      <c r="I379" s="26" t="s">
        <v>8</v>
      </c>
      <c r="J379" s="26" t="s">
        <v>8</v>
      </c>
      <c r="K379" s="26" t="s">
        <v>8</v>
      </c>
      <c r="L379" s="26" t="s">
        <v>8</v>
      </c>
      <c r="M379" s="26" t="s">
        <v>8</v>
      </c>
      <c r="N379" s="191"/>
      <c r="O379" s="191"/>
      <c r="P379" s="163"/>
      <c r="Q379" s="163"/>
      <c r="R379" s="177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</row>
    <row r="380" spans="1:47" ht="131.25" customHeight="1" x14ac:dyDescent="0.2">
      <c r="A380" s="122">
        <f t="shared" si="55"/>
        <v>369</v>
      </c>
      <c r="B380" s="139" t="s">
        <v>587</v>
      </c>
      <c r="C380" s="18"/>
      <c r="D380" s="120" t="s">
        <v>700</v>
      </c>
      <c r="E380" s="26" t="s">
        <v>8</v>
      </c>
      <c r="F380" s="26" t="s">
        <v>8</v>
      </c>
      <c r="G380" s="27">
        <v>42369</v>
      </c>
      <c r="H380" s="26"/>
      <c r="I380" s="26" t="s">
        <v>8</v>
      </c>
      <c r="J380" s="26" t="s">
        <v>8</v>
      </c>
      <c r="K380" s="26" t="s">
        <v>8</v>
      </c>
      <c r="L380" s="26" t="s">
        <v>8</v>
      </c>
      <c r="M380" s="26" t="s">
        <v>8</v>
      </c>
      <c r="N380" s="191"/>
      <c r="O380" s="191"/>
      <c r="P380" s="163"/>
      <c r="Q380" s="163"/>
      <c r="R380" s="177"/>
    </row>
    <row r="381" spans="1:47" ht="130.5" customHeight="1" x14ac:dyDescent="0.2">
      <c r="A381" s="122">
        <f>A380+1</f>
        <v>370</v>
      </c>
      <c r="B381" s="139" t="s">
        <v>588</v>
      </c>
      <c r="C381" s="18"/>
      <c r="D381" s="120" t="s">
        <v>700</v>
      </c>
      <c r="E381" s="26" t="s">
        <v>8</v>
      </c>
      <c r="F381" s="26" t="s">
        <v>8</v>
      </c>
      <c r="G381" s="27">
        <v>42735</v>
      </c>
      <c r="H381" s="26"/>
      <c r="I381" s="26" t="s">
        <v>8</v>
      </c>
      <c r="J381" s="26" t="s">
        <v>8</v>
      </c>
      <c r="K381" s="26" t="s">
        <v>8</v>
      </c>
      <c r="L381" s="26" t="s">
        <v>8</v>
      </c>
      <c r="M381" s="26" t="s">
        <v>8</v>
      </c>
      <c r="N381" s="191"/>
      <c r="O381" s="191"/>
      <c r="P381" s="163"/>
      <c r="Q381" s="163"/>
      <c r="R381" s="177"/>
    </row>
    <row r="382" spans="1:47" s="14" customFormat="1" ht="110.25" x14ac:dyDescent="0.2">
      <c r="A382" s="122">
        <f t="shared" si="55"/>
        <v>371</v>
      </c>
      <c r="B382" s="98" t="s">
        <v>245</v>
      </c>
      <c r="C382" s="62"/>
      <c r="D382" s="106" t="s">
        <v>700</v>
      </c>
      <c r="E382" s="99">
        <v>41640</v>
      </c>
      <c r="F382" s="165">
        <v>41640</v>
      </c>
      <c r="G382" s="156">
        <v>42735</v>
      </c>
      <c r="H382" s="116"/>
      <c r="I382" s="55">
        <v>0</v>
      </c>
      <c r="J382" s="55">
        <v>0</v>
      </c>
      <c r="K382" s="55">
        <v>0</v>
      </c>
      <c r="L382" s="55">
        <v>0</v>
      </c>
      <c r="M382" s="171" t="s">
        <v>225</v>
      </c>
      <c r="N382" s="190"/>
      <c r="O382" s="190"/>
      <c r="P382" s="163"/>
      <c r="Q382" s="163"/>
      <c r="R382" s="163" t="s">
        <v>643</v>
      </c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</row>
    <row r="383" spans="1:47" s="14" customFormat="1" ht="94.5" x14ac:dyDescent="0.2">
      <c r="A383" s="122">
        <f t="shared" si="55"/>
        <v>372</v>
      </c>
      <c r="B383" s="97" t="s">
        <v>329</v>
      </c>
      <c r="C383" s="62"/>
      <c r="D383" s="106" t="s">
        <v>700</v>
      </c>
      <c r="E383" s="99">
        <v>41640</v>
      </c>
      <c r="F383" s="165">
        <v>41640</v>
      </c>
      <c r="G383" s="156">
        <v>42735</v>
      </c>
      <c r="H383" s="116"/>
      <c r="I383" s="59">
        <v>0</v>
      </c>
      <c r="J383" s="59">
        <v>0</v>
      </c>
      <c r="K383" s="59">
        <v>0</v>
      </c>
      <c r="L383" s="59">
        <v>0</v>
      </c>
      <c r="M383" s="164" t="s">
        <v>260</v>
      </c>
      <c r="N383" s="191"/>
      <c r="O383" s="191"/>
      <c r="P383" s="163"/>
      <c r="Q383" s="163"/>
      <c r="R383" s="177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</row>
    <row r="384" spans="1:47" s="14" customFormat="1" ht="94.5" x14ac:dyDescent="0.2">
      <c r="A384" s="122">
        <f t="shared" si="55"/>
        <v>373</v>
      </c>
      <c r="B384" s="73" t="s">
        <v>445</v>
      </c>
      <c r="C384" s="135"/>
      <c r="D384" s="73" t="s">
        <v>700</v>
      </c>
      <c r="E384" s="131">
        <v>41640</v>
      </c>
      <c r="F384" s="172">
        <v>41640</v>
      </c>
      <c r="G384" s="156">
        <v>42735</v>
      </c>
      <c r="H384" s="108"/>
      <c r="I384" s="37">
        <v>0</v>
      </c>
      <c r="J384" s="37">
        <v>0</v>
      </c>
      <c r="K384" s="37">
        <v>0</v>
      </c>
      <c r="L384" s="37">
        <v>0</v>
      </c>
      <c r="M384" s="175" t="s">
        <v>360</v>
      </c>
      <c r="N384" s="191"/>
      <c r="O384" s="191"/>
      <c r="P384" s="163"/>
      <c r="Q384" s="163"/>
      <c r="R384" s="177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</row>
    <row r="385" spans="1:47" ht="94.5" x14ac:dyDescent="0.2">
      <c r="A385" s="122">
        <f>A384+1</f>
        <v>374</v>
      </c>
      <c r="B385" s="139" t="s">
        <v>589</v>
      </c>
      <c r="C385" s="18"/>
      <c r="D385" s="107" t="s">
        <v>700</v>
      </c>
      <c r="E385" s="26" t="s">
        <v>8</v>
      </c>
      <c r="F385" s="26" t="s">
        <v>8</v>
      </c>
      <c r="G385" s="27">
        <v>42004</v>
      </c>
      <c r="H385" s="26"/>
      <c r="I385" s="26" t="s">
        <v>8</v>
      </c>
      <c r="J385" s="26" t="s">
        <v>8</v>
      </c>
      <c r="K385" s="26" t="s">
        <v>8</v>
      </c>
      <c r="L385" s="26" t="s">
        <v>8</v>
      </c>
      <c r="M385" s="26" t="s">
        <v>8</v>
      </c>
      <c r="N385" s="191"/>
      <c r="O385" s="191"/>
      <c r="P385" s="163"/>
      <c r="Q385" s="163"/>
      <c r="R385" s="177"/>
    </row>
    <row r="386" spans="1:47" ht="94.5" x14ac:dyDescent="0.2">
      <c r="A386" s="154">
        <f t="shared" ref="A386:A388" si="56">A385+1</f>
        <v>375</v>
      </c>
      <c r="B386" s="139" t="s">
        <v>590</v>
      </c>
      <c r="C386" s="18"/>
      <c r="D386" s="139" t="s">
        <v>700</v>
      </c>
      <c r="E386" s="26" t="s">
        <v>8</v>
      </c>
      <c r="F386" s="26" t="s">
        <v>8</v>
      </c>
      <c r="G386" s="27">
        <v>42369</v>
      </c>
      <c r="H386" s="26"/>
      <c r="I386" s="26" t="s">
        <v>8</v>
      </c>
      <c r="J386" s="26" t="s">
        <v>8</v>
      </c>
      <c r="K386" s="26" t="s">
        <v>8</v>
      </c>
      <c r="L386" s="26" t="s">
        <v>8</v>
      </c>
      <c r="M386" s="26" t="s">
        <v>8</v>
      </c>
      <c r="N386" s="191"/>
      <c r="O386" s="191"/>
      <c r="P386" s="163"/>
      <c r="Q386" s="163"/>
      <c r="R386" s="177"/>
    </row>
    <row r="387" spans="1:47" ht="94.5" x14ac:dyDescent="0.2">
      <c r="A387" s="154">
        <f t="shared" si="56"/>
        <v>376</v>
      </c>
      <c r="B387" s="139" t="s">
        <v>591</v>
      </c>
      <c r="C387" s="18"/>
      <c r="D387" s="139" t="s">
        <v>700</v>
      </c>
      <c r="E387" s="26" t="s">
        <v>8</v>
      </c>
      <c r="F387" s="26" t="s">
        <v>8</v>
      </c>
      <c r="G387" s="27">
        <v>42735</v>
      </c>
      <c r="H387" s="26"/>
      <c r="I387" s="26" t="s">
        <v>8</v>
      </c>
      <c r="J387" s="26" t="s">
        <v>8</v>
      </c>
      <c r="K387" s="26" t="s">
        <v>8</v>
      </c>
      <c r="L387" s="26" t="s">
        <v>8</v>
      </c>
      <c r="M387" s="26" t="s">
        <v>8</v>
      </c>
      <c r="N387" s="191"/>
      <c r="O387" s="191"/>
      <c r="P387" s="163"/>
      <c r="Q387" s="163"/>
      <c r="R387" s="177"/>
    </row>
    <row r="388" spans="1:47" ht="110.25" x14ac:dyDescent="0.2">
      <c r="A388" s="145">
        <f t="shared" si="56"/>
        <v>377</v>
      </c>
      <c r="B388" s="98" t="s">
        <v>226</v>
      </c>
      <c r="C388" s="97"/>
      <c r="D388" s="62" t="s">
        <v>700</v>
      </c>
      <c r="E388" s="99">
        <v>41640</v>
      </c>
      <c r="F388" s="165">
        <v>41640</v>
      </c>
      <c r="G388" s="99">
        <v>42735</v>
      </c>
      <c r="H388" s="101"/>
      <c r="I388" s="23">
        <f>I389+I390</f>
        <v>4015.538</v>
      </c>
      <c r="J388" s="23">
        <f t="shared" ref="J388:K388" si="57">J389+J390</f>
        <v>2800.7</v>
      </c>
      <c r="K388" s="23">
        <f t="shared" si="57"/>
        <v>834.8</v>
      </c>
      <c r="L388" s="23">
        <f>L389</f>
        <v>1990.8</v>
      </c>
      <c r="M388" s="171" t="s">
        <v>225</v>
      </c>
      <c r="N388" s="190"/>
      <c r="O388" s="190"/>
      <c r="P388" s="163"/>
      <c r="Q388" s="163"/>
      <c r="R388" s="163" t="s">
        <v>629</v>
      </c>
    </row>
    <row r="389" spans="1:47" s="14" customFormat="1" ht="94.5" x14ac:dyDescent="0.2">
      <c r="A389" s="122">
        <f t="shared" si="55"/>
        <v>378</v>
      </c>
      <c r="B389" s="97" t="s">
        <v>446</v>
      </c>
      <c r="C389" s="97"/>
      <c r="D389" s="62" t="s">
        <v>700</v>
      </c>
      <c r="E389" s="99">
        <v>41640</v>
      </c>
      <c r="F389" s="165">
        <v>41640</v>
      </c>
      <c r="G389" s="99">
        <v>42735</v>
      </c>
      <c r="H389" s="101"/>
      <c r="I389" s="25">
        <f>1990800/1000</f>
        <v>1990.8</v>
      </c>
      <c r="J389" s="25">
        <v>1990.8</v>
      </c>
      <c r="K389" s="25">
        <v>282.8</v>
      </c>
      <c r="L389" s="25">
        <f>1990800/1000</f>
        <v>1990.8</v>
      </c>
      <c r="M389" s="175" t="s">
        <v>275</v>
      </c>
      <c r="N389" s="191"/>
      <c r="O389" s="191"/>
      <c r="P389" s="163" t="s">
        <v>626</v>
      </c>
      <c r="Q389" s="163" t="s">
        <v>627</v>
      </c>
      <c r="R389" s="181" t="s">
        <v>668</v>
      </c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</row>
    <row r="390" spans="1:47" s="14" customFormat="1" ht="131.25" customHeight="1" x14ac:dyDescent="0.2">
      <c r="A390" s="122">
        <f t="shared" si="55"/>
        <v>379</v>
      </c>
      <c r="B390" s="97" t="s">
        <v>447</v>
      </c>
      <c r="C390" s="97"/>
      <c r="D390" s="62" t="s">
        <v>700</v>
      </c>
      <c r="E390" s="99">
        <v>41640</v>
      </c>
      <c r="F390" s="165">
        <v>41640</v>
      </c>
      <c r="G390" s="99">
        <v>42004</v>
      </c>
      <c r="H390" s="101"/>
      <c r="I390" s="25">
        <f>2024738/1000</f>
        <v>2024.7380000000001</v>
      </c>
      <c r="J390" s="25">
        <v>809.9</v>
      </c>
      <c r="K390" s="25">
        <v>552</v>
      </c>
      <c r="L390" s="25">
        <v>0</v>
      </c>
      <c r="M390" s="175" t="s">
        <v>374</v>
      </c>
      <c r="N390" s="191"/>
      <c r="O390" s="191"/>
      <c r="P390" s="163" t="s">
        <v>626</v>
      </c>
      <c r="Q390" s="163" t="s">
        <v>627</v>
      </c>
      <c r="R390" s="181" t="s">
        <v>640</v>
      </c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</row>
    <row r="391" spans="1:47" s="14" customFormat="1" ht="117.75" customHeight="1" x14ac:dyDescent="0.2">
      <c r="A391" s="122">
        <f t="shared" si="55"/>
        <v>380</v>
      </c>
      <c r="B391" s="81" t="s">
        <v>592</v>
      </c>
      <c r="C391" s="17"/>
      <c r="D391" s="107" t="s">
        <v>700</v>
      </c>
      <c r="E391" s="26" t="s">
        <v>8</v>
      </c>
      <c r="F391" s="26" t="s">
        <v>8</v>
      </c>
      <c r="G391" s="27">
        <v>42004</v>
      </c>
      <c r="H391" s="26"/>
      <c r="I391" s="26" t="s">
        <v>8</v>
      </c>
      <c r="J391" s="26" t="s">
        <v>8</v>
      </c>
      <c r="K391" s="26" t="s">
        <v>8</v>
      </c>
      <c r="L391" s="26" t="s">
        <v>8</v>
      </c>
      <c r="M391" s="26" t="s">
        <v>8</v>
      </c>
      <c r="N391" s="191"/>
      <c r="O391" s="191"/>
      <c r="P391" s="163"/>
      <c r="Q391" s="163"/>
      <c r="R391" s="177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</row>
    <row r="392" spans="1:47" s="14" customFormat="1" ht="117.75" customHeight="1" x14ac:dyDescent="0.2">
      <c r="A392" s="122">
        <f t="shared" si="55"/>
        <v>381</v>
      </c>
      <c r="B392" s="139" t="s">
        <v>593</v>
      </c>
      <c r="C392" s="17"/>
      <c r="D392" s="107" t="s">
        <v>700</v>
      </c>
      <c r="E392" s="26" t="s">
        <v>8</v>
      </c>
      <c r="F392" s="26" t="s">
        <v>8</v>
      </c>
      <c r="G392" s="27">
        <v>42369</v>
      </c>
      <c r="H392" s="26"/>
      <c r="I392" s="26" t="s">
        <v>8</v>
      </c>
      <c r="J392" s="26" t="s">
        <v>8</v>
      </c>
      <c r="K392" s="26" t="s">
        <v>8</v>
      </c>
      <c r="L392" s="26" t="s">
        <v>8</v>
      </c>
      <c r="M392" s="26" t="s">
        <v>8</v>
      </c>
      <c r="N392" s="191"/>
      <c r="O392" s="191"/>
      <c r="P392" s="163"/>
      <c r="Q392" s="163"/>
      <c r="R392" s="177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</row>
    <row r="393" spans="1:47" ht="134.25" customHeight="1" x14ac:dyDescent="0.2">
      <c r="A393" s="122">
        <f t="shared" si="55"/>
        <v>382</v>
      </c>
      <c r="B393" s="139" t="s">
        <v>594</v>
      </c>
      <c r="C393" s="17"/>
      <c r="D393" s="107" t="s">
        <v>700</v>
      </c>
      <c r="E393" s="26" t="s">
        <v>8</v>
      </c>
      <c r="F393" s="26" t="s">
        <v>8</v>
      </c>
      <c r="G393" s="27">
        <v>42735</v>
      </c>
      <c r="H393" s="26"/>
      <c r="I393" s="39" t="s">
        <v>8</v>
      </c>
      <c r="J393" s="26" t="s">
        <v>8</v>
      </c>
      <c r="K393" s="26" t="s">
        <v>8</v>
      </c>
      <c r="L393" s="26" t="s">
        <v>8</v>
      </c>
      <c r="M393" s="26" t="s">
        <v>8</v>
      </c>
      <c r="N393" s="191"/>
      <c r="O393" s="191"/>
      <c r="P393" s="163"/>
      <c r="Q393" s="163"/>
      <c r="R393" s="177"/>
    </row>
    <row r="394" spans="1:47" ht="23.25" customHeight="1" x14ac:dyDescent="0.2">
      <c r="A394" s="219">
        <f>A393+1</f>
        <v>383</v>
      </c>
      <c r="B394" s="283" t="s">
        <v>227</v>
      </c>
      <c r="C394" s="284"/>
      <c r="D394" s="284"/>
      <c r="E394" s="284"/>
      <c r="F394" s="284"/>
      <c r="G394" s="284"/>
      <c r="H394" s="285"/>
      <c r="I394" s="65">
        <f>I364+I388</f>
        <v>11427.218000000001</v>
      </c>
      <c r="J394" s="65">
        <f t="shared" ref="J394:K394" si="58">J364+J388</f>
        <v>8362.7000000000007</v>
      </c>
      <c r="K394" s="65">
        <f t="shared" si="58"/>
        <v>834.8</v>
      </c>
      <c r="L394" s="65">
        <f>L364+L388</f>
        <v>9502.84</v>
      </c>
      <c r="M394" s="208"/>
      <c r="N394" s="190"/>
      <c r="O394" s="190"/>
      <c r="P394" s="201"/>
      <c r="Q394" s="201"/>
      <c r="R394" s="201"/>
    </row>
    <row r="395" spans="1:47" x14ac:dyDescent="0.2">
      <c r="A395" s="85">
        <f>A394+1</f>
        <v>384</v>
      </c>
      <c r="B395" s="270" t="s">
        <v>695</v>
      </c>
      <c r="C395" s="271"/>
      <c r="D395" s="271"/>
      <c r="E395" s="271"/>
      <c r="F395" s="271"/>
      <c r="G395" s="271"/>
      <c r="H395" s="271"/>
      <c r="I395" s="271"/>
      <c r="J395" s="271"/>
      <c r="K395" s="271"/>
      <c r="L395" s="272"/>
      <c r="M395" s="168"/>
      <c r="N395" s="198"/>
      <c r="O395" s="198"/>
      <c r="P395" s="201"/>
      <c r="Q395" s="201"/>
      <c r="R395" s="201"/>
    </row>
    <row r="396" spans="1:47" s="14" customFormat="1" ht="97.5" customHeight="1" x14ac:dyDescent="0.2">
      <c r="A396" s="85">
        <f>A395+1</f>
        <v>385</v>
      </c>
      <c r="B396" s="70" t="s">
        <v>228</v>
      </c>
      <c r="C396" s="70"/>
      <c r="D396" s="140" t="s">
        <v>698</v>
      </c>
      <c r="E396" s="80">
        <v>41640</v>
      </c>
      <c r="F396" s="80">
        <v>41640</v>
      </c>
      <c r="G396" s="80">
        <v>42735</v>
      </c>
      <c r="H396" s="101"/>
      <c r="I396" s="23">
        <f>I397</f>
        <v>23126.760440000002</v>
      </c>
      <c r="J396" s="23">
        <f t="shared" ref="J396:K396" si="59">J397</f>
        <v>14400.61</v>
      </c>
      <c r="K396" s="23">
        <f t="shared" si="59"/>
        <v>0</v>
      </c>
      <c r="L396" s="23">
        <f>23189833.39/1000</f>
        <v>23189.83339</v>
      </c>
      <c r="M396" s="171" t="s">
        <v>229</v>
      </c>
      <c r="N396" s="190"/>
      <c r="O396" s="190"/>
      <c r="P396" s="163"/>
      <c r="Q396" s="163"/>
      <c r="R396" s="163" t="s">
        <v>625</v>
      </c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</row>
    <row r="397" spans="1:47" s="14" customFormat="1" ht="97.5" customHeight="1" x14ac:dyDescent="0.2">
      <c r="A397" s="122">
        <f t="shared" ref="A397:A434" si="60">A396+1</f>
        <v>386</v>
      </c>
      <c r="B397" s="72" t="s">
        <v>230</v>
      </c>
      <c r="C397" s="117"/>
      <c r="D397" s="140" t="s">
        <v>698</v>
      </c>
      <c r="E397" s="79">
        <v>41640</v>
      </c>
      <c r="F397" s="165">
        <v>41640</v>
      </c>
      <c r="G397" s="79">
        <v>42735</v>
      </c>
      <c r="H397" s="101"/>
      <c r="I397" s="63">
        <f>23126760.44/1000</f>
        <v>23126.760440000002</v>
      </c>
      <c r="J397" s="63">
        <v>14400.61</v>
      </c>
      <c r="K397" s="63">
        <v>0</v>
      </c>
      <c r="L397" s="63">
        <f>23189833.39/1000</f>
        <v>23189.83339</v>
      </c>
      <c r="M397" s="175" t="s">
        <v>407</v>
      </c>
      <c r="N397" s="191"/>
      <c r="O397" s="191"/>
      <c r="P397" s="163"/>
      <c r="Q397" s="163" t="s">
        <v>650</v>
      </c>
      <c r="R397" s="177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</row>
    <row r="398" spans="1:47" s="14" customFormat="1" ht="84.75" customHeight="1" x14ac:dyDescent="0.2">
      <c r="A398" s="122">
        <f t="shared" si="60"/>
        <v>387</v>
      </c>
      <c r="B398" s="73" t="s">
        <v>377</v>
      </c>
      <c r="C398" s="73"/>
      <c r="D398" s="140" t="s">
        <v>698</v>
      </c>
      <c r="E398" s="131">
        <v>41640</v>
      </c>
      <c r="F398" s="172">
        <v>41640</v>
      </c>
      <c r="G398" s="131">
        <v>42735</v>
      </c>
      <c r="H398" s="108"/>
      <c r="I398" s="37">
        <v>0</v>
      </c>
      <c r="J398" s="37">
        <v>0</v>
      </c>
      <c r="K398" s="37">
        <v>0</v>
      </c>
      <c r="L398" s="37">
        <v>0</v>
      </c>
      <c r="M398" s="175" t="s">
        <v>412</v>
      </c>
      <c r="N398" s="191"/>
      <c r="O398" s="191"/>
      <c r="P398" s="163"/>
      <c r="Q398" s="163"/>
      <c r="R398" s="177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</row>
    <row r="399" spans="1:47" ht="79.5" customHeight="1" x14ac:dyDescent="0.2">
      <c r="A399" s="122">
        <f t="shared" si="60"/>
        <v>388</v>
      </c>
      <c r="B399" s="70" t="s">
        <v>231</v>
      </c>
      <c r="C399" s="71"/>
      <c r="D399" s="140" t="s">
        <v>698</v>
      </c>
      <c r="E399" s="80">
        <v>41640</v>
      </c>
      <c r="F399" s="80">
        <v>41640</v>
      </c>
      <c r="G399" s="80">
        <v>42735</v>
      </c>
      <c r="H399" s="101"/>
      <c r="I399" s="23">
        <f>I400</f>
        <v>61005.404710000003</v>
      </c>
      <c r="J399" s="23">
        <f t="shared" ref="J399:K399" si="61">J400</f>
        <v>46544.08</v>
      </c>
      <c r="K399" s="23">
        <f t="shared" si="61"/>
        <v>8165.29</v>
      </c>
      <c r="L399" s="25">
        <f>L400</f>
        <v>65136.188009999998</v>
      </c>
      <c r="M399" s="171" t="s">
        <v>229</v>
      </c>
      <c r="N399" s="190"/>
      <c r="O399" s="190"/>
      <c r="P399" s="163"/>
      <c r="Q399" s="163"/>
      <c r="R399" s="163" t="s">
        <v>669</v>
      </c>
    </row>
    <row r="400" spans="1:47" ht="80.25" customHeight="1" x14ac:dyDescent="0.2">
      <c r="A400" s="122">
        <f t="shared" si="60"/>
        <v>389</v>
      </c>
      <c r="B400" s="72" t="s">
        <v>330</v>
      </c>
      <c r="C400" s="73"/>
      <c r="D400" s="140" t="s">
        <v>698</v>
      </c>
      <c r="E400" s="79">
        <v>41640</v>
      </c>
      <c r="F400" s="165">
        <v>41640</v>
      </c>
      <c r="G400" s="79">
        <v>42735</v>
      </c>
      <c r="H400" s="101"/>
      <c r="I400" s="25">
        <f>61005404.71/1000</f>
        <v>61005.404710000003</v>
      </c>
      <c r="J400" s="25">
        <v>46544.08</v>
      </c>
      <c r="K400" s="25">
        <v>8165.29</v>
      </c>
      <c r="L400" s="25">
        <f>65136188.01/1000</f>
        <v>65136.188009999998</v>
      </c>
      <c r="M400" s="175" t="s">
        <v>413</v>
      </c>
      <c r="N400" s="191"/>
      <c r="O400" s="191"/>
      <c r="P400" s="163" t="s">
        <v>626</v>
      </c>
      <c r="Q400" s="163" t="s">
        <v>650</v>
      </c>
      <c r="R400" s="181" t="s">
        <v>670</v>
      </c>
    </row>
    <row r="401" spans="1:47" ht="78.75" x14ac:dyDescent="0.2">
      <c r="A401" s="122">
        <f t="shared" si="60"/>
        <v>390</v>
      </c>
      <c r="B401" s="73" t="s">
        <v>378</v>
      </c>
      <c r="C401" s="73"/>
      <c r="D401" s="140" t="s">
        <v>698</v>
      </c>
      <c r="E401" s="131">
        <v>41640</v>
      </c>
      <c r="F401" s="172">
        <v>41640</v>
      </c>
      <c r="G401" s="131">
        <v>42735</v>
      </c>
      <c r="H401" s="108"/>
      <c r="I401" s="37">
        <v>0</v>
      </c>
      <c r="J401" s="37">
        <v>0</v>
      </c>
      <c r="K401" s="37">
        <v>0</v>
      </c>
      <c r="L401" s="37">
        <v>0</v>
      </c>
      <c r="M401" s="175" t="s">
        <v>367</v>
      </c>
      <c r="N401" s="191"/>
      <c r="O401" s="191"/>
      <c r="P401" s="163" t="s">
        <v>626</v>
      </c>
      <c r="Q401" s="163" t="s">
        <v>650</v>
      </c>
      <c r="R401" s="181" t="s">
        <v>638</v>
      </c>
    </row>
    <row r="402" spans="1:47" ht="94.5" x14ac:dyDescent="0.2">
      <c r="A402" s="122">
        <f t="shared" si="60"/>
        <v>391</v>
      </c>
      <c r="B402" s="139" t="s">
        <v>595</v>
      </c>
      <c r="C402" s="17"/>
      <c r="D402" s="107" t="s">
        <v>698</v>
      </c>
      <c r="E402" s="26" t="s">
        <v>8</v>
      </c>
      <c r="F402" s="26" t="s">
        <v>8</v>
      </c>
      <c r="G402" s="27">
        <v>42004</v>
      </c>
      <c r="H402" s="26"/>
      <c r="I402" s="26" t="s">
        <v>8</v>
      </c>
      <c r="J402" s="26" t="s">
        <v>8</v>
      </c>
      <c r="K402" s="26" t="s">
        <v>8</v>
      </c>
      <c r="L402" s="26" t="s">
        <v>8</v>
      </c>
      <c r="M402" s="26" t="s">
        <v>8</v>
      </c>
      <c r="N402" s="191"/>
      <c r="O402" s="191"/>
      <c r="P402" s="163"/>
      <c r="Q402" s="163"/>
      <c r="R402" s="177"/>
    </row>
    <row r="403" spans="1:47" s="14" customFormat="1" ht="78.75" x14ac:dyDescent="0.2">
      <c r="A403" s="122">
        <f>A402+1</f>
        <v>392</v>
      </c>
      <c r="B403" s="139" t="s">
        <v>596</v>
      </c>
      <c r="C403" s="17"/>
      <c r="D403" s="139" t="s">
        <v>698</v>
      </c>
      <c r="E403" s="26" t="s">
        <v>8</v>
      </c>
      <c r="F403" s="26" t="s">
        <v>8</v>
      </c>
      <c r="G403" s="27">
        <v>42369</v>
      </c>
      <c r="H403" s="26"/>
      <c r="I403" s="26" t="s">
        <v>8</v>
      </c>
      <c r="J403" s="26" t="s">
        <v>8</v>
      </c>
      <c r="K403" s="26" t="s">
        <v>8</v>
      </c>
      <c r="L403" s="26" t="s">
        <v>8</v>
      </c>
      <c r="M403" s="26" t="s">
        <v>8</v>
      </c>
      <c r="N403" s="191"/>
      <c r="O403" s="191"/>
      <c r="P403" s="163"/>
      <c r="Q403" s="163"/>
      <c r="R403" s="177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</row>
    <row r="404" spans="1:47" s="14" customFormat="1" ht="108.75" customHeight="1" x14ac:dyDescent="0.2">
      <c r="A404" s="122">
        <f t="shared" si="60"/>
        <v>393</v>
      </c>
      <c r="B404" s="139" t="s">
        <v>597</v>
      </c>
      <c r="C404" s="17"/>
      <c r="D404" s="139" t="s">
        <v>698</v>
      </c>
      <c r="E404" s="26" t="s">
        <v>8</v>
      </c>
      <c r="F404" s="26" t="s">
        <v>8</v>
      </c>
      <c r="G404" s="27">
        <v>42735</v>
      </c>
      <c r="H404" s="26"/>
      <c r="I404" s="26" t="s">
        <v>8</v>
      </c>
      <c r="J404" s="26" t="s">
        <v>8</v>
      </c>
      <c r="K404" s="26" t="s">
        <v>8</v>
      </c>
      <c r="L404" s="26" t="s">
        <v>8</v>
      </c>
      <c r="M404" s="26" t="s">
        <v>8</v>
      </c>
      <c r="N404" s="191"/>
      <c r="O404" s="191"/>
      <c r="P404" s="163"/>
      <c r="Q404" s="163"/>
      <c r="R404" s="177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</row>
    <row r="405" spans="1:47" ht="102" customHeight="1" x14ac:dyDescent="0.2">
      <c r="A405" s="122">
        <f t="shared" si="60"/>
        <v>394</v>
      </c>
      <c r="B405" s="70" t="s">
        <v>232</v>
      </c>
      <c r="C405" s="71"/>
      <c r="D405" s="140" t="s">
        <v>698</v>
      </c>
      <c r="E405" s="80">
        <v>41640</v>
      </c>
      <c r="F405" s="80">
        <v>41640</v>
      </c>
      <c r="G405" s="80">
        <v>42735</v>
      </c>
      <c r="H405" s="101"/>
      <c r="I405" s="23">
        <f>I406</f>
        <v>13633.66005</v>
      </c>
      <c r="J405" s="23">
        <f t="shared" ref="J405:K405" si="62">J406</f>
        <v>10194.44</v>
      </c>
      <c r="K405" s="23">
        <f t="shared" si="62"/>
        <v>0</v>
      </c>
      <c r="L405" s="23">
        <f>L406</f>
        <v>13503.654619999999</v>
      </c>
      <c r="M405" s="141" t="s">
        <v>229</v>
      </c>
      <c r="N405" s="194"/>
      <c r="O405" s="194"/>
      <c r="P405" s="163"/>
      <c r="Q405" s="163"/>
      <c r="R405" s="163" t="s">
        <v>638</v>
      </c>
    </row>
    <row r="406" spans="1:47" ht="78.75" x14ac:dyDescent="0.2">
      <c r="A406" s="122">
        <f t="shared" si="60"/>
        <v>395</v>
      </c>
      <c r="B406" s="72" t="s">
        <v>427</v>
      </c>
      <c r="C406" s="72"/>
      <c r="D406" s="140" t="s">
        <v>698</v>
      </c>
      <c r="E406" s="79">
        <v>41640</v>
      </c>
      <c r="F406" s="165">
        <v>41640</v>
      </c>
      <c r="G406" s="79">
        <v>42735</v>
      </c>
      <c r="H406" s="101"/>
      <c r="I406" s="25">
        <f>13633660.05/1000</f>
        <v>13633.66005</v>
      </c>
      <c r="J406" s="25">
        <v>10194.44</v>
      </c>
      <c r="K406" s="25">
        <v>0</v>
      </c>
      <c r="L406" s="25">
        <f>13503654.62/1000</f>
        <v>13503.654619999999</v>
      </c>
      <c r="M406" s="175" t="s">
        <v>414</v>
      </c>
      <c r="N406" s="191"/>
      <c r="O406" s="191"/>
      <c r="P406" s="163" t="s">
        <v>664</v>
      </c>
      <c r="Q406" s="163" t="s">
        <v>650</v>
      </c>
      <c r="R406" s="180" t="s">
        <v>671</v>
      </c>
    </row>
    <row r="407" spans="1:47" ht="94.5" x14ac:dyDescent="0.2">
      <c r="A407" s="122">
        <f t="shared" si="60"/>
        <v>396</v>
      </c>
      <c r="B407" s="73" t="s">
        <v>331</v>
      </c>
      <c r="C407" s="73"/>
      <c r="D407" s="140" t="s">
        <v>698</v>
      </c>
      <c r="E407" s="131">
        <v>41640</v>
      </c>
      <c r="F407" s="172">
        <v>41640</v>
      </c>
      <c r="G407" s="131">
        <v>42735</v>
      </c>
      <c r="H407" s="108"/>
      <c r="I407" s="37">
        <v>0</v>
      </c>
      <c r="J407" s="37">
        <v>0</v>
      </c>
      <c r="K407" s="37">
        <v>0</v>
      </c>
      <c r="L407" s="37">
        <v>0</v>
      </c>
      <c r="M407" s="175" t="s">
        <v>361</v>
      </c>
      <c r="N407" s="191"/>
      <c r="O407" s="191"/>
      <c r="P407" s="163" t="s">
        <v>664</v>
      </c>
      <c r="Q407" s="163" t="s">
        <v>650</v>
      </c>
      <c r="R407" s="180" t="s">
        <v>671</v>
      </c>
    </row>
    <row r="408" spans="1:47" ht="78.75" x14ac:dyDescent="0.2">
      <c r="A408" s="122">
        <f>A407+1</f>
        <v>397</v>
      </c>
      <c r="B408" s="132" t="s">
        <v>598</v>
      </c>
      <c r="C408" s="17"/>
      <c r="D408" s="107" t="s">
        <v>698</v>
      </c>
      <c r="E408" s="26" t="s">
        <v>8</v>
      </c>
      <c r="F408" s="26" t="s">
        <v>8</v>
      </c>
      <c r="G408" s="27">
        <v>42004</v>
      </c>
      <c r="H408" s="26"/>
      <c r="I408" s="26" t="s">
        <v>8</v>
      </c>
      <c r="J408" s="26" t="s">
        <v>8</v>
      </c>
      <c r="K408" s="26" t="s">
        <v>8</v>
      </c>
      <c r="L408" s="26" t="s">
        <v>8</v>
      </c>
      <c r="M408" s="26" t="s">
        <v>8</v>
      </c>
      <c r="N408" s="191"/>
      <c r="O408" s="191"/>
      <c r="P408" s="163"/>
      <c r="Q408" s="163"/>
      <c r="R408" s="177"/>
    </row>
    <row r="409" spans="1:47" ht="78.75" x14ac:dyDescent="0.2">
      <c r="A409" s="122">
        <f t="shared" si="60"/>
        <v>398</v>
      </c>
      <c r="B409" s="132" t="s">
        <v>599</v>
      </c>
      <c r="C409" s="17"/>
      <c r="D409" s="107" t="s">
        <v>698</v>
      </c>
      <c r="E409" s="26" t="s">
        <v>8</v>
      </c>
      <c r="F409" s="26" t="s">
        <v>8</v>
      </c>
      <c r="G409" s="27">
        <v>42369</v>
      </c>
      <c r="H409" s="26"/>
      <c r="I409" s="26" t="s">
        <v>8</v>
      </c>
      <c r="J409" s="26" t="s">
        <v>8</v>
      </c>
      <c r="K409" s="26" t="s">
        <v>8</v>
      </c>
      <c r="L409" s="26" t="s">
        <v>8</v>
      </c>
      <c r="M409" s="26" t="s">
        <v>8</v>
      </c>
      <c r="N409" s="191"/>
      <c r="O409" s="191"/>
      <c r="P409" s="163"/>
      <c r="Q409" s="163"/>
      <c r="R409" s="177"/>
    </row>
    <row r="410" spans="1:47" ht="101.25" customHeight="1" x14ac:dyDescent="0.2">
      <c r="A410" s="122">
        <f t="shared" si="60"/>
        <v>399</v>
      </c>
      <c r="B410" s="132" t="s">
        <v>600</v>
      </c>
      <c r="C410" s="17"/>
      <c r="D410" s="107" t="s">
        <v>698</v>
      </c>
      <c r="E410" s="26" t="s">
        <v>8</v>
      </c>
      <c r="F410" s="26" t="s">
        <v>8</v>
      </c>
      <c r="G410" s="27">
        <v>42735</v>
      </c>
      <c r="H410" s="26"/>
      <c r="I410" s="26" t="s">
        <v>8</v>
      </c>
      <c r="J410" s="26" t="s">
        <v>8</v>
      </c>
      <c r="K410" s="26" t="s">
        <v>8</v>
      </c>
      <c r="L410" s="26" t="s">
        <v>8</v>
      </c>
      <c r="M410" s="26" t="s">
        <v>8</v>
      </c>
      <c r="N410" s="191"/>
      <c r="O410" s="191"/>
      <c r="P410" s="163"/>
      <c r="Q410" s="163"/>
      <c r="R410" s="177"/>
      <c r="AP410" s="10"/>
      <c r="AQ410" s="10"/>
      <c r="AR410" s="10"/>
      <c r="AS410" s="10"/>
      <c r="AT410" s="10"/>
      <c r="AU410" s="10"/>
    </row>
    <row r="411" spans="1:47" s="20" customFormat="1" ht="134.25" customHeight="1" x14ac:dyDescent="0.2">
      <c r="A411" s="122">
        <f t="shared" si="60"/>
        <v>400</v>
      </c>
      <c r="B411" s="70" t="s">
        <v>233</v>
      </c>
      <c r="C411" s="71"/>
      <c r="D411" s="140" t="s">
        <v>700</v>
      </c>
      <c r="E411" s="80">
        <v>41640</v>
      </c>
      <c r="F411" s="80">
        <v>41640</v>
      </c>
      <c r="G411" s="80">
        <v>42735</v>
      </c>
      <c r="H411" s="101"/>
      <c r="I411" s="23">
        <f>I412</f>
        <v>27578.380499999999</v>
      </c>
      <c r="J411" s="23">
        <f t="shared" ref="J411:K411" si="63">J412</f>
        <v>22740.1</v>
      </c>
      <c r="K411" s="23">
        <f t="shared" si="63"/>
        <v>0</v>
      </c>
      <c r="L411" s="23">
        <f>L412</f>
        <v>27942.589780000002</v>
      </c>
      <c r="M411" s="169" t="s">
        <v>229</v>
      </c>
      <c r="N411" s="194"/>
      <c r="O411" s="194"/>
      <c r="P411" s="163"/>
      <c r="Q411" s="163"/>
      <c r="R411" s="163" t="s">
        <v>672</v>
      </c>
    </row>
    <row r="412" spans="1:47" s="20" customFormat="1" ht="138.75" customHeight="1" x14ac:dyDescent="0.2">
      <c r="A412" s="122">
        <f t="shared" si="60"/>
        <v>401</v>
      </c>
      <c r="B412" s="72" t="s">
        <v>332</v>
      </c>
      <c r="C412" s="72"/>
      <c r="D412" s="140" t="s">
        <v>700</v>
      </c>
      <c r="E412" s="79">
        <v>41640</v>
      </c>
      <c r="F412" s="165">
        <v>41640</v>
      </c>
      <c r="G412" s="79">
        <v>42735</v>
      </c>
      <c r="H412" s="101"/>
      <c r="I412" s="25">
        <f>27578380.5/1000</f>
        <v>27578.380499999999</v>
      </c>
      <c r="J412" s="25">
        <v>22740.1</v>
      </c>
      <c r="K412" s="25">
        <v>0</v>
      </c>
      <c r="L412" s="25">
        <f>27942589.78/1000</f>
        <v>27942.589780000002</v>
      </c>
      <c r="M412" s="175" t="s">
        <v>415</v>
      </c>
      <c r="N412" s="191"/>
      <c r="O412" s="191"/>
      <c r="P412" s="163" t="s">
        <v>656</v>
      </c>
      <c r="Q412" s="163" t="s">
        <v>650</v>
      </c>
      <c r="R412" s="180" t="s">
        <v>673</v>
      </c>
    </row>
    <row r="413" spans="1:47" ht="94.5" x14ac:dyDescent="0.2">
      <c r="A413" s="122">
        <f t="shared" si="60"/>
        <v>402</v>
      </c>
      <c r="B413" s="73" t="s">
        <v>363</v>
      </c>
      <c r="C413" s="73"/>
      <c r="D413" s="140" t="s">
        <v>700</v>
      </c>
      <c r="E413" s="131">
        <v>41640</v>
      </c>
      <c r="F413" s="172">
        <v>41640</v>
      </c>
      <c r="G413" s="131">
        <v>42735</v>
      </c>
      <c r="H413" s="108"/>
      <c r="I413" s="37">
        <v>0</v>
      </c>
      <c r="J413" s="37">
        <v>0</v>
      </c>
      <c r="K413" s="37">
        <v>0</v>
      </c>
      <c r="L413" s="37">
        <v>0</v>
      </c>
      <c r="M413" s="175" t="s">
        <v>362</v>
      </c>
      <c r="N413" s="191"/>
      <c r="O413" s="191"/>
      <c r="P413" s="163" t="s">
        <v>656</v>
      </c>
      <c r="Q413" s="163" t="s">
        <v>650</v>
      </c>
      <c r="R413" s="180" t="s">
        <v>673</v>
      </c>
    </row>
    <row r="414" spans="1:47" ht="94.5" x14ac:dyDescent="0.2">
      <c r="A414" s="122">
        <f>A413+1</f>
        <v>403</v>
      </c>
      <c r="B414" s="139" t="s">
        <v>601</v>
      </c>
      <c r="C414" s="17"/>
      <c r="D414" s="107" t="s">
        <v>700</v>
      </c>
      <c r="E414" s="26" t="s">
        <v>8</v>
      </c>
      <c r="F414" s="26" t="s">
        <v>8</v>
      </c>
      <c r="G414" s="27">
        <v>42004</v>
      </c>
      <c r="H414" s="26"/>
      <c r="I414" s="26" t="s">
        <v>8</v>
      </c>
      <c r="J414" s="26" t="s">
        <v>8</v>
      </c>
      <c r="K414" s="26" t="s">
        <v>8</v>
      </c>
      <c r="L414" s="26" t="s">
        <v>8</v>
      </c>
      <c r="M414" s="26" t="s">
        <v>8</v>
      </c>
      <c r="N414" s="191"/>
      <c r="O414" s="191"/>
      <c r="P414" s="163"/>
      <c r="Q414" s="163"/>
      <c r="R414" s="177"/>
    </row>
    <row r="415" spans="1:47" ht="94.5" x14ac:dyDescent="0.2">
      <c r="A415" s="122">
        <f t="shared" si="60"/>
        <v>404</v>
      </c>
      <c r="B415" s="139" t="s">
        <v>602</v>
      </c>
      <c r="C415" s="17"/>
      <c r="D415" s="107" t="s">
        <v>700</v>
      </c>
      <c r="E415" s="26" t="s">
        <v>8</v>
      </c>
      <c r="F415" s="26" t="s">
        <v>8</v>
      </c>
      <c r="G415" s="27">
        <v>42369</v>
      </c>
      <c r="H415" s="26"/>
      <c r="I415" s="26" t="s">
        <v>8</v>
      </c>
      <c r="J415" s="26" t="s">
        <v>8</v>
      </c>
      <c r="K415" s="26" t="s">
        <v>8</v>
      </c>
      <c r="L415" s="26" t="s">
        <v>8</v>
      </c>
      <c r="M415" s="26" t="s">
        <v>8</v>
      </c>
      <c r="N415" s="191"/>
      <c r="O415" s="191"/>
      <c r="P415" s="163"/>
      <c r="Q415" s="163"/>
      <c r="R415" s="177"/>
    </row>
    <row r="416" spans="1:47" ht="133.5" customHeight="1" x14ac:dyDescent="0.2">
      <c r="A416" s="122">
        <f t="shared" si="60"/>
        <v>405</v>
      </c>
      <c r="B416" s="139" t="s">
        <v>603</v>
      </c>
      <c r="C416" s="17"/>
      <c r="D416" s="107" t="s">
        <v>700</v>
      </c>
      <c r="E416" s="26" t="s">
        <v>8</v>
      </c>
      <c r="F416" s="26" t="s">
        <v>8</v>
      </c>
      <c r="G416" s="27">
        <v>42735</v>
      </c>
      <c r="H416" s="26"/>
      <c r="I416" s="26" t="s">
        <v>8</v>
      </c>
      <c r="J416" s="26" t="s">
        <v>8</v>
      </c>
      <c r="K416" s="26" t="s">
        <v>8</v>
      </c>
      <c r="L416" s="26" t="s">
        <v>8</v>
      </c>
      <c r="M416" s="26" t="s">
        <v>8</v>
      </c>
      <c r="N416" s="191"/>
      <c r="O416" s="191"/>
      <c r="P416" s="163"/>
      <c r="Q416" s="163"/>
      <c r="R416" s="177"/>
    </row>
    <row r="417" spans="1:41" ht="80.25" customHeight="1" x14ac:dyDescent="0.2">
      <c r="A417" s="122">
        <f t="shared" si="60"/>
        <v>406</v>
      </c>
      <c r="B417" s="70" t="s">
        <v>234</v>
      </c>
      <c r="C417" s="71"/>
      <c r="D417" s="140" t="s">
        <v>698</v>
      </c>
      <c r="E417" s="80">
        <v>41640</v>
      </c>
      <c r="F417" s="80">
        <v>41640</v>
      </c>
      <c r="G417" s="80">
        <v>42735</v>
      </c>
      <c r="H417" s="101"/>
      <c r="I417" s="23">
        <f>I418</f>
        <v>36379.225549999996</v>
      </c>
      <c r="J417" s="23">
        <f t="shared" ref="J417:K417" si="64">J418</f>
        <v>28100</v>
      </c>
      <c r="K417" s="23">
        <f t="shared" si="64"/>
        <v>0</v>
      </c>
      <c r="L417" s="23">
        <f>L418</f>
        <v>37179.225549999996</v>
      </c>
      <c r="M417" s="169" t="s">
        <v>229</v>
      </c>
      <c r="N417" s="194"/>
      <c r="O417" s="194"/>
      <c r="P417" s="163"/>
      <c r="Q417" s="163"/>
      <c r="R417" s="163" t="s">
        <v>674</v>
      </c>
    </row>
    <row r="418" spans="1:41" ht="86.25" customHeight="1" x14ac:dyDescent="0.2">
      <c r="A418" s="122">
        <f>A417+1</f>
        <v>407</v>
      </c>
      <c r="B418" s="72" t="s">
        <v>235</v>
      </c>
      <c r="C418" s="72"/>
      <c r="D418" s="140" t="s">
        <v>698</v>
      </c>
      <c r="E418" s="79">
        <v>41640</v>
      </c>
      <c r="F418" s="165">
        <v>41640</v>
      </c>
      <c r="G418" s="79">
        <v>42735</v>
      </c>
      <c r="H418" s="101"/>
      <c r="I418" s="25">
        <f>36379225.55/1000</f>
        <v>36379.225549999996</v>
      </c>
      <c r="J418" s="25">
        <v>28100</v>
      </c>
      <c r="K418" s="25">
        <v>0</v>
      </c>
      <c r="L418" s="25">
        <f>37179225.55/1000</f>
        <v>37179.225549999996</v>
      </c>
      <c r="M418" s="175" t="s">
        <v>365</v>
      </c>
      <c r="N418" s="191"/>
      <c r="O418" s="191"/>
      <c r="P418" s="163" t="s">
        <v>633</v>
      </c>
      <c r="Q418" s="163" t="s">
        <v>650</v>
      </c>
      <c r="R418" s="180" t="s">
        <v>674</v>
      </c>
    </row>
    <row r="419" spans="1:41" ht="87" customHeight="1" x14ac:dyDescent="0.2">
      <c r="A419" s="122">
        <f t="shared" si="60"/>
        <v>408</v>
      </c>
      <c r="B419" s="73" t="s">
        <v>333</v>
      </c>
      <c r="C419" s="73"/>
      <c r="D419" s="140" t="s">
        <v>698</v>
      </c>
      <c r="E419" s="131">
        <v>41640</v>
      </c>
      <c r="F419" s="172">
        <v>41640</v>
      </c>
      <c r="G419" s="131">
        <v>42735</v>
      </c>
      <c r="H419" s="108"/>
      <c r="I419" s="37">
        <v>0</v>
      </c>
      <c r="J419" s="37">
        <v>0</v>
      </c>
      <c r="K419" s="37">
        <v>0</v>
      </c>
      <c r="L419" s="37">
        <v>0</v>
      </c>
      <c r="M419" s="175" t="s">
        <v>364</v>
      </c>
      <c r="N419" s="191"/>
      <c r="O419" s="191"/>
      <c r="P419" s="163" t="s">
        <v>633</v>
      </c>
      <c r="Q419" s="163" t="s">
        <v>650</v>
      </c>
      <c r="R419" s="180" t="s">
        <v>674</v>
      </c>
    </row>
    <row r="420" spans="1:41" ht="100.5" customHeight="1" x14ac:dyDescent="0.2">
      <c r="A420" s="122">
        <f>A419+1</f>
        <v>409</v>
      </c>
      <c r="B420" s="139" t="s">
        <v>604</v>
      </c>
      <c r="C420" s="17"/>
      <c r="D420" s="107" t="s">
        <v>698</v>
      </c>
      <c r="E420" s="26" t="s">
        <v>8</v>
      </c>
      <c r="F420" s="26" t="s">
        <v>8</v>
      </c>
      <c r="G420" s="27">
        <v>42004</v>
      </c>
      <c r="H420" s="26"/>
      <c r="I420" s="26" t="s">
        <v>8</v>
      </c>
      <c r="J420" s="26" t="s">
        <v>8</v>
      </c>
      <c r="K420" s="26" t="s">
        <v>8</v>
      </c>
      <c r="L420" s="26" t="s">
        <v>8</v>
      </c>
      <c r="M420" s="26" t="s">
        <v>8</v>
      </c>
      <c r="N420" s="191"/>
      <c r="O420" s="191"/>
      <c r="P420" s="163"/>
      <c r="Q420" s="163"/>
      <c r="R420" s="177"/>
    </row>
    <row r="421" spans="1:41" ht="105" customHeight="1" x14ac:dyDescent="0.2">
      <c r="A421" s="122">
        <f t="shared" si="60"/>
        <v>410</v>
      </c>
      <c r="B421" s="139" t="s">
        <v>605</v>
      </c>
      <c r="C421" s="17"/>
      <c r="D421" s="107" t="s">
        <v>698</v>
      </c>
      <c r="E421" s="26" t="s">
        <v>8</v>
      </c>
      <c r="F421" s="26" t="s">
        <v>8</v>
      </c>
      <c r="G421" s="27">
        <v>42369</v>
      </c>
      <c r="H421" s="26"/>
      <c r="I421" s="26" t="s">
        <v>8</v>
      </c>
      <c r="J421" s="26" t="s">
        <v>8</v>
      </c>
      <c r="K421" s="26" t="s">
        <v>8</v>
      </c>
      <c r="L421" s="26" t="s">
        <v>8</v>
      </c>
      <c r="M421" s="26" t="s">
        <v>8</v>
      </c>
      <c r="N421" s="191"/>
      <c r="O421" s="191"/>
      <c r="P421" s="163"/>
      <c r="Q421" s="163"/>
      <c r="R421" s="177"/>
    </row>
    <row r="422" spans="1:41" ht="105.75" customHeight="1" x14ac:dyDescent="0.2">
      <c r="A422" s="122">
        <f t="shared" si="60"/>
        <v>411</v>
      </c>
      <c r="B422" s="139" t="s">
        <v>606</v>
      </c>
      <c r="C422" s="17"/>
      <c r="D422" s="107" t="s">
        <v>698</v>
      </c>
      <c r="E422" s="26" t="s">
        <v>8</v>
      </c>
      <c r="F422" s="26" t="s">
        <v>8</v>
      </c>
      <c r="G422" s="27">
        <v>42735</v>
      </c>
      <c r="H422" s="26"/>
      <c r="I422" s="26" t="s">
        <v>8</v>
      </c>
      <c r="J422" s="26" t="s">
        <v>8</v>
      </c>
      <c r="K422" s="26" t="s">
        <v>8</v>
      </c>
      <c r="L422" s="26" t="s">
        <v>8</v>
      </c>
      <c r="M422" s="26" t="s">
        <v>8</v>
      </c>
      <c r="N422" s="191"/>
      <c r="O422" s="191"/>
      <c r="P422" s="163"/>
      <c r="Q422" s="163"/>
      <c r="R422" s="177"/>
    </row>
    <row r="423" spans="1:41" ht="99" customHeight="1" x14ac:dyDescent="0.2">
      <c r="A423" s="122">
        <f t="shared" si="60"/>
        <v>412</v>
      </c>
      <c r="B423" s="70" t="s">
        <v>236</v>
      </c>
      <c r="C423" s="71"/>
      <c r="D423" s="140" t="s">
        <v>700</v>
      </c>
      <c r="E423" s="80">
        <v>41640</v>
      </c>
      <c r="F423" s="80">
        <v>41640</v>
      </c>
      <c r="G423" s="80">
        <v>42735</v>
      </c>
      <c r="H423" s="101"/>
      <c r="I423" s="23">
        <f>I424</f>
        <v>241780.14449000001</v>
      </c>
      <c r="J423" s="23">
        <f t="shared" ref="J423:K423" si="65">J424</f>
        <v>193142.34</v>
      </c>
      <c r="K423" s="23">
        <f t="shared" si="65"/>
        <v>181492.06</v>
      </c>
      <c r="L423" s="23">
        <f>L424</f>
        <v>190336.18021000002</v>
      </c>
      <c r="M423" s="137" t="s">
        <v>237</v>
      </c>
      <c r="N423" s="190"/>
      <c r="O423" s="190"/>
      <c r="P423" s="163"/>
      <c r="Q423" s="163"/>
      <c r="R423" s="163" t="s">
        <v>630</v>
      </c>
    </row>
    <row r="424" spans="1:41" ht="102" customHeight="1" x14ac:dyDescent="0.2">
      <c r="A424" s="122">
        <f t="shared" si="60"/>
        <v>413</v>
      </c>
      <c r="B424" s="72" t="s">
        <v>248</v>
      </c>
      <c r="C424" s="72"/>
      <c r="D424" s="140" t="s">
        <v>700</v>
      </c>
      <c r="E424" s="79">
        <v>41640</v>
      </c>
      <c r="F424" s="165">
        <v>41640</v>
      </c>
      <c r="G424" s="79">
        <v>42735</v>
      </c>
      <c r="H424" s="101"/>
      <c r="I424" s="25">
        <f>241780144.49/1000</f>
        <v>241780.14449000001</v>
      </c>
      <c r="J424" s="25">
        <v>193142.34</v>
      </c>
      <c r="K424" s="25">
        <v>181492.06</v>
      </c>
      <c r="L424" s="25">
        <f>190336180.21/1000</f>
        <v>190336.18021000002</v>
      </c>
      <c r="M424" s="175" t="s">
        <v>419</v>
      </c>
      <c r="N424" s="191"/>
      <c r="O424" s="191"/>
      <c r="P424" s="158" t="s">
        <v>626</v>
      </c>
      <c r="Q424" s="163" t="s">
        <v>650</v>
      </c>
      <c r="R424" s="185" t="s">
        <v>675</v>
      </c>
    </row>
    <row r="425" spans="1:41" ht="94.5" x14ac:dyDescent="0.2">
      <c r="A425" s="122">
        <f t="shared" si="60"/>
        <v>414</v>
      </c>
      <c r="B425" s="71" t="s">
        <v>487</v>
      </c>
      <c r="C425" s="71"/>
      <c r="D425" s="140" t="s">
        <v>700</v>
      </c>
      <c r="E425" s="80">
        <v>41640</v>
      </c>
      <c r="F425" s="80">
        <v>41640</v>
      </c>
      <c r="G425" s="80">
        <v>42735</v>
      </c>
      <c r="H425" s="130"/>
      <c r="I425" s="24">
        <v>0</v>
      </c>
      <c r="J425" s="24">
        <v>0</v>
      </c>
      <c r="K425" s="24">
        <v>0</v>
      </c>
      <c r="L425" s="24">
        <v>0</v>
      </c>
      <c r="M425" s="175" t="s">
        <v>416</v>
      </c>
      <c r="N425" s="191"/>
      <c r="O425" s="191"/>
      <c r="P425" s="158" t="s">
        <v>626</v>
      </c>
      <c r="Q425" s="163"/>
      <c r="R425" s="181" t="s">
        <v>668</v>
      </c>
    </row>
    <row r="426" spans="1:41" s="124" customFormat="1" ht="102" customHeight="1" x14ac:dyDescent="0.2">
      <c r="A426" s="122">
        <f t="shared" si="60"/>
        <v>415</v>
      </c>
      <c r="B426" s="139" t="s">
        <v>607</v>
      </c>
      <c r="C426" s="17"/>
      <c r="D426" s="107" t="s">
        <v>698</v>
      </c>
      <c r="E426" s="26" t="s">
        <v>8</v>
      </c>
      <c r="F426" s="26" t="s">
        <v>8</v>
      </c>
      <c r="G426" s="27">
        <v>42004</v>
      </c>
      <c r="H426" s="26"/>
      <c r="I426" s="26" t="s">
        <v>8</v>
      </c>
      <c r="J426" s="26" t="s">
        <v>8</v>
      </c>
      <c r="K426" s="26" t="s">
        <v>8</v>
      </c>
      <c r="L426" s="26" t="s">
        <v>8</v>
      </c>
      <c r="M426" s="26" t="s">
        <v>8</v>
      </c>
      <c r="N426" s="191"/>
      <c r="O426" s="191"/>
      <c r="P426" s="163"/>
      <c r="Q426" s="163"/>
      <c r="R426" s="177"/>
      <c r="S426" s="123"/>
      <c r="T426" s="123"/>
      <c r="U426" s="123"/>
      <c r="V426" s="123"/>
      <c r="W426" s="123"/>
      <c r="X426" s="123"/>
      <c r="Y426" s="123"/>
      <c r="Z426" s="123"/>
      <c r="AA426" s="123"/>
      <c r="AB426" s="123"/>
      <c r="AC426" s="123"/>
      <c r="AD426" s="123"/>
      <c r="AE426" s="123"/>
      <c r="AF426" s="123"/>
      <c r="AG426" s="123"/>
      <c r="AH426" s="123"/>
      <c r="AI426" s="123"/>
      <c r="AJ426" s="123"/>
      <c r="AK426" s="123"/>
      <c r="AL426" s="123"/>
      <c r="AM426" s="123"/>
      <c r="AN426" s="123"/>
      <c r="AO426" s="123"/>
    </row>
    <row r="427" spans="1:41" ht="106.5" customHeight="1" x14ac:dyDescent="0.2">
      <c r="A427" s="122">
        <f>A426+1</f>
        <v>416</v>
      </c>
      <c r="B427" s="139" t="s">
        <v>608</v>
      </c>
      <c r="C427" s="17"/>
      <c r="D427" s="107" t="s">
        <v>698</v>
      </c>
      <c r="E427" s="26" t="s">
        <v>8</v>
      </c>
      <c r="F427" s="26" t="s">
        <v>8</v>
      </c>
      <c r="G427" s="27">
        <v>42369</v>
      </c>
      <c r="H427" s="26"/>
      <c r="I427" s="26" t="s">
        <v>8</v>
      </c>
      <c r="J427" s="26" t="s">
        <v>8</v>
      </c>
      <c r="K427" s="26" t="s">
        <v>8</v>
      </c>
      <c r="L427" s="26" t="s">
        <v>8</v>
      </c>
      <c r="M427" s="26" t="s">
        <v>8</v>
      </c>
      <c r="N427" s="191"/>
      <c r="O427" s="191"/>
      <c r="P427" s="163"/>
      <c r="Q427" s="163"/>
      <c r="R427" s="177"/>
    </row>
    <row r="428" spans="1:41" ht="102" customHeight="1" x14ac:dyDescent="0.2">
      <c r="A428" s="122">
        <f t="shared" si="60"/>
        <v>417</v>
      </c>
      <c r="B428" s="139" t="s">
        <v>609</v>
      </c>
      <c r="C428" s="17"/>
      <c r="D428" s="107" t="s">
        <v>698</v>
      </c>
      <c r="E428" s="26" t="s">
        <v>8</v>
      </c>
      <c r="F428" s="26" t="s">
        <v>8</v>
      </c>
      <c r="G428" s="27">
        <v>42735</v>
      </c>
      <c r="H428" s="26"/>
      <c r="I428" s="26" t="s">
        <v>8</v>
      </c>
      <c r="J428" s="26" t="s">
        <v>8</v>
      </c>
      <c r="K428" s="26" t="s">
        <v>8</v>
      </c>
      <c r="L428" s="26" t="s">
        <v>8</v>
      </c>
      <c r="M428" s="26" t="s">
        <v>8</v>
      </c>
      <c r="N428" s="191"/>
      <c r="O428" s="191"/>
      <c r="P428" s="163"/>
      <c r="Q428" s="163"/>
      <c r="R428" s="177"/>
    </row>
    <row r="429" spans="1:41" ht="94.5" x14ac:dyDescent="0.2">
      <c r="A429" s="122">
        <f>A428+1</f>
        <v>418</v>
      </c>
      <c r="B429" s="70" t="s">
        <v>238</v>
      </c>
      <c r="C429" s="71"/>
      <c r="D429" s="140" t="s">
        <v>698</v>
      </c>
      <c r="E429" s="80">
        <v>41640</v>
      </c>
      <c r="F429" s="80">
        <v>41640</v>
      </c>
      <c r="G429" s="80">
        <v>42735</v>
      </c>
      <c r="H429" s="24"/>
      <c r="I429" s="23">
        <f>I430</f>
        <v>1076.5073200000002</v>
      </c>
      <c r="J429" s="23">
        <f t="shared" ref="J429:K429" si="66">J430</f>
        <v>1076.51</v>
      </c>
      <c r="K429" s="23">
        <f t="shared" si="66"/>
        <v>278.08</v>
      </c>
      <c r="L429" s="23">
        <f>L430</f>
        <v>128.61920000000001</v>
      </c>
      <c r="M429" s="169" t="s">
        <v>239</v>
      </c>
      <c r="N429" s="194"/>
      <c r="O429" s="194"/>
      <c r="P429" s="163"/>
      <c r="Q429" s="163"/>
      <c r="R429" s="163" t="s">
        <v>643</v>
      </c>
    </row>
    <row r="430" spans="1:41" ht="110.25" x14ac:dyDescent="0.2">
      <c r="A430" s="122">
        <f t="shared" si="60"/>
        <v>419</v>
      </c>
      <c r="B430" s="71" t="s">
        <v>240</v>
      </c>
      <c r="C430" s="71"/>
      <c r="D430" s="140" t="s">
        <v>698</v>
      </c>
      <c r="E430" s="80">
        <v>41640</v>
      </c>
      <c r="F430" s="80">
        <v>41640</v>
      </c>
      <c r="G430" s="80">
        <v>42735</v>
      </c>
      <c r="H430" s="24"/>
      <c r="I430" s="25">
        <f>1076507.32/1000</f>
        <v>1076.5073200000002</v>
      </c>
      <c r="J430" s="24">
        <v>1076.51</v>
      </c>
      <c r="K430" s="24">
        <v>278.08</v>
      </c>
      <c r="L430" s="24">
        <f>128619.2/1000</f>
        <v>128.61920000000001</v>
      </c>
      <c r="M430" s="175" t="s">
        <v>409</v>
      </c>
      <c r="N430" s="191"/>
      <c r="O430" s="191"/>
      <c r="P430" s="158" t="s">
        <v>626</v>
      </c>
      <c r="Q430" s="163" t="s">
        <v>627</v>
      </c>
      <c r="R430" s="183" t="s">
        <v>640</v>
      </c>
    </row>
    <row r="431" spans="1:41" ht="78.75" x14ac:dyDescent="0.2">
      <c r="A431" s="122">
        <f t="shared" si="60"/>
        <v>420</v>
      </c>
      <c r="B431" s="71" t="s">
        <v>241</v>
      </c>
      <c r="C431" s="71"/>
      <c r="D431" s="140" t="s">
        <v>698</v>
      </c>
      <c r="E431" s="80">
        <v>41640</v>
      </c>
      <c r="F431" s="80">
        <v>41640</v>
      </c>
      <c r="G431" s="80">
        <v>42735</v>
      </c>
      <c r="H431" s="130"/>
      <c r="I431" s="24">
        <v>0</v>
      </c>
      <c r="J431" s="24">
        <v>0</v>
      </c>
      <c r="K431" s="24">
        <v>0</v>
      </c>
      <c r="L431" s="24">
        <v>0</v>
      </c>
      <c r="M431" s="170" t="s">
        <v>417</v>
      </c>
      <c r="N431" s="196"/>
      <c r="O431" s="196"/>
      <c r="P431" s="158" t="s">
        <v>626</v>
      </c>
      <c r="Q431" s="163"/>
      <c r="R431" s="181" t="s">
        <v>663</v>
      </c>
    </row>
    <row r="432" spans="1:41" ht="78.75" x14ac:dyDescent="0.2">
      <c r="A432" s="122">
        <f t="shared" si="60"/>
        <v>421</v>
      </c>
      <c r="B432" s="81" t="s">
        <v>610</v>
      </c>
      <c r="C432" s="17"/>
      <c r="D432" s="107" t="s">
        <v>698</v>
      </c>
      <c r="E432" s="26" t="s">
        <v>8</v>
      </c>
      <c r="F432" s="26" t="s">
        <v>8</v>
      </c>
      <c r="G432" s="27" t="s">
        <v>334</v>
      </c>
      <c r="H432" s="26"/>
      <c r="I432" s="26" t="s">
        <v>8</v>
      </c>
      <c r="J432" s="26" t="s">
        <v>8</v>
      </c>
      <c r="K432" s="26" t="s">
        <v>8</v>
      </c>
      <c r="L432" s="26" t="s">
        <v>8</v>
      </c>
      <c r="M432" s="26" t="s">
        <v>8</v>
      </c>
      <c r="N432" s="191"/>
      <c r="O432" s="191"/>
      <c r="P432" s="163"/>
      <c r="Q432" s="163"/>
      <c r="R432" s="177"/>
    </row>
    <row r="433" spans="1:18" s="20" customFormat="1" ht="128.25" customHeight="1" x14ac:dyDescent="0.2">
      <c r="A433" s="129">
        <f t="shared" si="60"/>
        <v>422</v>
      </c>
      <c r="B433" s="139" t="s">
        <v>611</v>
      </c>
      <c r="C433" s="17"/>
      <c r="D433" s="132" t="s">
        <v>698</v>
      </c>
      <c r="E433" s="26" t="s">
        <v>8</v>
      </c>
      <c r="F433" s="26" t="s">
        <v>8</v>
      </c>
      <c r="G433" s="27" t="s">
        <v>335</v>
      </c>
      <c r="H433" s="26"/>
      <c r="I433" s="26" t="s">
        <v>8</v>
      </c>
      <c r="J433" s="26" t="s">
        <v>8</v>
      </c>
      <c r="K433" s="26" t="s">
        <v>8</v>
      </c>
      <c r="L433" s="26" t="s">
        <v>8</v>
      </c>
      <c r="M433" s="26" t="s">
        <v>8</v>
      </c>
      <c r="N433" s="191"/>
      <c r="O433" s="191"/>
      <c r="P433" s="163"/>
      <c r="Q433" s="163"/>
      <c r="R433" s="177"/>
    </row>
    <row r="434" spans="1:18" s="20" customFormat="1" ht="126" x14ac:dyDescent="0.2">
      <c r="A434" s="122">
        <f t="shared" si="60"/>
        <v>423</v>
      </c>
      <c r="B434" s="139" t="s">
        <v>612</v>
      </c>
      <c r="C434" s="17" t="s">
        <v>13</v>
      </c>
      <c r="D434" s="107" t="s">
        <v>698</v>
      </c>
      <c r="E434" s="26" t="s">
        <v>8</v>
      </c>
      <c r="F434" s="26" t="s">
        <v>8</v>
      </c>
      <c r="G434" s="27">
        <v>42643</v>
      </c>
      <c r="H434" s="26"/>
      <c r="I434" s="26" t="s">
        <v>8</v>
      </c>
      <c r="J434" s="26" t="s">
        <v>8</v>
      </c>
      <c r="K434" s="26" t="s">
        <v>8</v>
      </c>
      <c r="L434" s="26" t="s">
        <v>8</v>
      </c>
      <c r="M434" s="26" t="s">
        <v>8</v>
      </c>
      <c r="N434" s="191"/>
      <c r="O434" s="191"/>
      <c r="P434" s="163"/>
      <c r="Q434" s="163"/>
      <c r="R434" s="177"/>
    </row>
    <row r="435" spans="1:18" s="20" customFormat="1" ht="15.75" customHeight="1" x14ac:dyDescent="0.2">
      <c r="A435" s="212">
        <f>A434+1</f>
        <v>424</v>
      </c>
      <c r="B435" s="274" t="s">
        <v>242</v>
      </c>
      <c r="C435" s="275"/>
      <c r="D435" s="275"/>
      <c r="E435" s="275"/>
      <c r="F435" s="275"/>
      <c r="G435" s="275"/>
      <c r="H435" s="276"/>
      <c r="I435" s="4">
        <f>I429+I423+I417+I411+I405+I399+I396</f>
        <v>404580.08305999998</v>
      </c>
      <c r="J435" s="4">
        <f t="shared" ref="J435:K435" si="67">J429+J423+J417+J411+J405+J399+J396</f>
        <v>316198.08</v>
      </c>
      <c r="K435" s="4">
        <f t="shared" si="67"/>
        <v>189935.43</v>
      </c>
      <c r="L435" s="3">
        <f>L429+L423+L417+L411+L405+L399+L396</f>
        <v>357416.29076</v>
      </c>
      <c r="M435" s="205"/>
      <c r="N435" s="190"/>
      <c r="O435" s="190"/>
      <c r="P435" s="201"/>
      <c r="Q435" s="201"/>
      <c r="R435" s="201"/>
    </row>
    <row r="436" spans="1:18" s="20" customFormat="1" x14ac:dyDescent="0.2">
      <c r="A436" s="212">
        <f>A435+1</f>
        <v>425</v>
      </c>
      <c r="B436" s="286" t="s">
        <v>243</v>
      </c>
      <c r="C436" s="287"/>
      <c r="D436" s="287"/>
      <c r="E436" s="287"/>
      <c r="F436" s="287"/>
      <c r="G436" s="287"/>
      <c r="H436" s="288"/>
      <c r="I436" s="4">
        <f>I435+I394+I362+I306+I251+I68</f>
        <v>1022673.67781</v>
      </c>
      <c r="J436" s="4">
        <f t="shared" ref="J436:K436" si="68">J435+J394+J362+J306+J251+J68</f>
        <v>736314.32</v>
      </c>
      <c r="K436" s="4">
        <f t="shared" si="68"/>
        <v>421242.26</v>
      </c>
      <c r="L436" s="4" t="e">
        <f>SUM(#REF!)</f>
        <v>#REF!</v>
      </c>
      <c r="M436" s="211"/>
      <c r="N436" s="189"/>
      <c r="O436" s="189"/>
      <c r="P436" s="201"/>
      <c r="Q436" s="201"/>
      <c r="R436" s="201"/>
    </row>
    <row r="437" spans="1:18" s="20" customFormat="1" ht="30.75" customHeight="1" x14ac:dyDescent="0.25">
      <c r="A437" s="289" t="s">
        <v>692</v>
      </c>
      <c r="B437" s="289"/>
      <c r="C437" s="289"/>
      <c r="D437" s="289"/>
      <c r="E437" s="289"/>
      <c r="F437" s="289"/>
      <c r="G437" s="289"/>
      <c r="H437" s="290"/>
      <c r="I437" s="289"/>
      <c r="J437" s="289"/>
      <c r="K437" s="228"/>
      <c r="L437" s="6"/>
      <c r="M437" s="41"/>
      <c r="N437" s="41"/>
      <c r="O437" s="41"/>
    </row>
    <row r="438" spans="1:18" s="20" customFormat="1" ht="27.75" customHeight="1" x14ac:dyDescent="0.25">
      <c r="A438" s="291" t="s">
        <v>693</v>
      </c>
      <c r="B438" s="291"/>
      <c r="C438" s="291"/>
      <c r="D438" s="291"/>
      <c r="E438" s="291"/>
      <c r="F438" s="291"/>
      <c r="G438" s="291"/>
      <c r="H438" s="292"/>
      <c r="I438" s="291"/>
      <c r="J438" s="291"/>
      <c r="K438" s="228"/>
      <c r="L438" s="6"/>
      <c r="M438" s="41"/>
      <c r="N438" s="41"/>
      <c r="O438" s="41"/>
    </row>
    <row r="439" spans="1:18" s="20" customFormat="1" ht="30.75" customHeight="1" x14ac:dyDescent="0.25">
      <c r="A439" s="291" t="s">
        <v>694</v>
      </c>
      <c r="B439" s="291"/>
      <c r="C439" s="291"/>
      <c r="D439" s="291"/>
      <c r="E439" s="291"/>
      <c r="F439" s="291"/>
      <c r="G439" s="291"/>
      <c r="H439" s="292"/>
      <c r="I439" s="291"/>
      <c r="J439" s="291"/>
      <c r="K439" s="228"/>
      <c r="L439" s="6"/>
      <c r="M439" s="41"/>
      <c r="N439" s="41"/>
      <c r="O439" s="41"/>
    </row>
    <row r="440" spans="1:18" s="20" customFormat="1" ht="33" customHeight="1" x14ac:dyDescent="0.25">
      <c r="A440" s="291" t="s">
        <v>710</v>
      </c>
      <c r="B440" s="291"/>
      <c r="C440" s="291"/>
      <c r="D440" s="291"/>
      <c r="E440" s="291"/>
      <c r="F440" s="291"/>
      <c r="G440" s="291"/>
      <c r="H440" s="292"/>
      <c r="I440" s="291"/>
      <c r="J440" s="291"/>
      <c r="K440" s="228"/>
      <c r="L440" s="6"/>
      <c r="M440" s="41"/>
      <c r="N440" s="41"/>
      <c r="O440" s="41"/>
    </row>
    <row r="441" spans="1:18" s="20" customFormat="1" x14ac:dyDescent="0.25">
      <c r="A441" s="229"/>
      <c r="B441" s="230"/>
      <c r="C441" s="231"/>
      <c r="D441" s="232"/>
      <c r="E441" s="233"/>
      <c r="F441" s="233"/>
      <c r="G441" s="233"/>
      <c r="H441" s="234"/>
      <c r="I441" s="235"/>
      <c r="J441" s="235"/>
      <c r="K441" s="228"/>
      <c r="L441" s="6"/>
      <c r="M441" s="41"/>
      <c r="N441" s="41"/>
      <c r="O441" s="41"/>
    </row>
    <row r="442" spans="1:18" s="20" customFormat="1" x14ac:dyDescent="0.25">
      <c r="A442" s="229"/>
      <c r="B442" s="230"/>
      <c r="C442" s="231"/>
      <c r="D442" s="232"/>
      <c r="E442" s="233"/>
      <c r="F442" s="233"/>
      <c r="G442" s="233"/>
      <c r="H442" s="234"/>
      <c r="I442" s="235"/>
      <c r="J442" s="235"/>
      <c r="K442" s="228"/>
      <c r="L442" s="6"/>
      <c r="M442" s="41"/>
      <c r="N442" s="41"/>
      <c r="O442" s="41"/>
    </row>
    <row r="443" spans="1:18" s="20" customFormat="1" x14ac:dyDescent="0.25">
      <c r="A443" s="229"/>
      <c r="B443" s="230"/>
      <c r="C443" s="231"/>
      <c r="D443" s="232"/>
      <c r="E443" s="233"/>
      <c r="F443" s="233"/>
      <c r="G443" s="233"/>
      <c r="H443" s="234"/>
      <c r="I443" s="235"/>
      <c r="J443" s="235"/>
      <c r="K443" s="235"/>
      <c r="L443" s="6"/>
      <c r="M443" s="41"/>
      <c r="N443" s="41"/>
      <c r="O443" s="41"/>
    </row>
    <row r="444" spans="1:18" s="20" customFormat="1" x14ac:dyDescent="0.25">
      <c r="A444" s="229"/>
      <c r="B444" s="230"/>
      <c r="C444" s="231"/>
      <c r="D444" s="232"/>
      <c r="E444" s="233"/>
      <c r="F444" s="233"/>
      <c r="G444" s="233"/>
      <c r="H444" s="234"/>
      <c r="I444" s="235"/>
      <c r="J444" s="235"/>
      <c r="K444" s="228"/>
      <c r="L444" s="6"/>
      <c r="M444" s="41"/>
      <c r="N444" s="41"/>
      <c r="O444" s="41"/>
    </row>
    <row r="445" spans="1:18" s="20" customFormat="1" x14ac:dyDescent="0.2">
      <c r="A445" s="82"/>
      <c r="B445" s="6"/>
      <c r="C445" s="6"/>
      <c r="D445" s="7"/>
      <c r="E445" s="41"/>
      <c r="F445" s="41"/>
      <c r="G445" s="41"/>
      <c r="H445" s="41"/>
      <c r="I445" s="6"/>
      <c r="J445" s="6"/>
      <c r="K445" s="6"/>
      <c r="L445" s="6"/>
      <c r="M445" s="41"/>
      <c r="N445" s="41"/>
      <c r="O445" s="41"/>
    </row>
    <row r="446" spans="1:18" s="20" customFormat="1" x14ac:dyDescent="0.2">
      <c r="A446" s="82"/>
      <c r="B446" s="6"/>
      <c r="C446" s="6"/>
      <c r="D446" s="7"/>
      <c r="E446" s="41"/>
      <c r="F446" s="41"/>
      <c r="G446" s="41"/>
      <c r="H446" s="41"/>
      <c r="I446" s="6"/>
      <c r="J446" s="6"/>
      <c r="K446" s="6"/>
      <c r="L446" s="6"/>
      <c r="M446" s="41"/>
      <c r="N446" s="41"/>
      <c r="O446" s="41"/>
    </row>
    <row r="447" spans="1:18" s="20" customFormat="1" x14ac:dyDescent="0.2">
      <c r="A447" s="82"/>
      <c r="B447" s="6"/>
      <c r="C447" s="6"/>
      <c r="D447" s="7"/>
      <c r="E447" s="41"/>
      <c r="F447" s="41"/>
      <c r="G447" s="41"/>
      <c r="H447" s="41"/>
      <c r="I447" s="6"/>
      <c r="J447" s="6"/>
      <c r="K447" s="6"/>
      <c r="L447" s="6"/>
      <c r="M447" s="41"/>
      <c r="N447" s="41"/>
      <c r="O447" s="41"/>
    </row>
    <row r="448" spans="1:18" s="20" customFormat="1" x14ac:dyDescent="0.2">
      <c r="A448" s="82"/>
      <c r="B448" s="6"/>
      <c r="C448" s="6"/>
      <c r="D448" s="7"/>
      <c r="E448" s="41"/>
      <c r="F448" s="41"/>
      <c r="G448" s="41"/>
      <c r="H448" s="41"/>
      <c r="I448" s="6"/>
      <c r="J448" s="6"/>
      <c r="K448" s="6"/>
      <c r="L448" s="6"/>
      <c r="M448" s="41"/>
      <c r="N448" s="41"/>
      <c r="O448" s="41"/>
    </row>
    <row r="449" spans="1:15" s="20" customFormat="1" x14ac:dyDescent="0.2">
      <c r="A449" s="82"/>
      <c r="B449" s="6"/>
      <c r="C449" s="6"/>
      <c r="D449" s="7"/>
      <c r="E449" s="41"/>
      <c r="F449" s="41"/>
      <c r="G449" s="41"/>
      <c r="H449" s="41"/>
      <c r="I449" s="6"/>
      <c r="J449" s="6"/>
      <c r="K449" s="6"/>
      <c r="L449" s="6"/>
      <c r="M449" s="41"/>
      <c r="N449" s="41"/>
      <c r="O449" s="41"/>
    </row>
    <row r="450" spans="1:15" s="20" customFormat="1" x14ac:dyDescent="0.2">
      <c r="A450" s="82"/>
      <c r="B450" s="6"/>
      <c r="C450" s="6"/>
      <c r="D450" s="7"/>
      <c r="E450" s="41"/>
      <c r="F450" s="41"/>
      <c r="G450" s="41"/>
      <c r="H450" s="41"/>
      <c r="I450" s="6"/>
      <c r="J450" s="6"/>
      <c r="K450" s="6"/>
      <c r="L450" s="6"/>
      <c r="M450" s="41"/>
      <c r="N450" s="41"/>
      <c r="O450" s="41"/>
    </row>
    <row r="451" spans="1:15" s="20" customFormat="1" x14ac:dyDescent="0.2">
      <c r="A451" s="82"/>
      <c r="B451" s="6"/>
      <c r="C451" s="6"/>
      <c r="D451" s="7"/>
      <c r="E451" s="41"/>
      <c r="F451" s="41"/>
      <c r="G451" s="41"/>
      <c r="H451" s="41"/>
      <c r="I451" s="6"/>
      <c r="J451" s="6"/>
      <c r="K451" s="6"/>
      <c r="L451" s="6"/>
      <c r="M451" s="41"/>
      <c r="N451" s="41"/>
      <c r="O451" s="41"/>
    </row>
    <row r="452" spans="1:15" s="20" customFormat="1" x14ac:dyDescent="0.2">
      <c r="A452" s="82"/>
      <c r="B452" s="6"/>
      <c r="C452" s="6"/>
      <c r="D452" s="7"/>
      <c r="E452" s="41"/>
      <c r="F452" s="41"/>
      <c r="G452" s="41"/>
      <c r="H452" s="41"/>
      <c r="I452" s="6"/>
      <c r="J452" s="6"/>
      <c r="K452" s="6"/>
      <c r="L452" s="6"/>
      <c r="M452" s="41"/>
      <c r="N452" s="41"/>
      <c r="O452" s="41"/>
    </row>
    <row r="453" spans="1:15" s="20" customFormat="1" x14ac:dyDescent="0.2">
      <c r="A453" s="82"/>
      <c r="B453" s="6"/>
      <c r="C453" s="6"/>
      <c r="D453" s="7"/>
      <c r="E453" s="41"/>
      <c r="F453" s="41"/>
      <c r="G453" s="41"/>
      <c r="H453" s="41"/>
      <c r="I453" s="6"/>
      <c r="J453" s="6"/>
      <c r="K453" s="6"/>
      <c r="L453" s="6"/>
      <c r="M453" s="41"/>
      <c r="N453" s="41"/>
      <c r="O453" s="41"/>
    </row>
    <row r="454" spans="1:15" s="20" customFormat="1" x14ac:dyDescent="0.2">
      <c r="A454" s="82"/>
      <c r="B454" s="6"/>
      <c r="C454" s="6"/>
      <c r="D454" s="7"/>
      <c r="E454" s="41"/>
      <c r="F454" s="41"/>
      <c r="G454" s="41"/>
      <c r="H454" s="41"/>
      <c r="I454" s="6"/>
      <c r="J454" s="6"/>
      <c r="K454" s="6"/>
      <c r="L454" s="6"/>
      <c r="M454" s="41"/>
      <c r="N454" s="41"/>
      <c r="O454" s="41"/>
    </row>
    <row r="455" spans="1:15" s="20" customFormat="1" x14ac:dyDescent="0.2">
      <c r="A455" s="82"/>
      <c r="B455" s="6"/>
      <c r="C455" s="6"/>
      <c r="D455" s="7"/>
      <c r="E455" s="41"/>
      <c r="F455" s="41"/>
      <c r="G455" s="41"/>
      <c r="H455" s="41"/>
      <c r="I455" s="6"/>
      <c r="J455" s="6"/>
      <c r="K455" s="6"/>
      <c r="L455" s="6"/>
      <c r="M455" s="41"/>
      <c r="N455" s="41"/>
      <c r="O455" s="41"/>
    </row>
    <row r="456" spans="1:15" s="20" customFormat="1" x14ac:dyDescent="0.2">
      <c r="A456" s="82"/>
      <c r="B456" s="6"/>
      <c r="C456" s="6"/>
      <c r="D456" s="7"/>
      <c r="E456" s="41"/>
      <c r="F456" s="41"/>
      <c r="G456" s="41"/>
      <c r="H456" s="41"/>
      <c r="I456" s="6"/>
      <c r="J456" s="6"/>
      <c r="K456" s="6"/>
      <c r="L456" s="6"/>
      <c r="M456" s="41"/>
      <c r="N456" s="41"/>
      <c r="O456" s="41"/>
    </row>
    <row r="457" spans="1:15" s="20" customFormat="1" x14ac:dyDescent="0.2">
      <c r="A457" s="82"/>
      <c r="B457" s="6"/>
      <c r="C457" s="6"/>
      <c r="D457" s="7"/>
      <c r="E457" s="41"/>
      <c r="F457" s="41"/>
      <c r="G457" s="41"/>
      <c r="H457" s="41"/>
      <c r="I457" s="6"/>
      <c r="J457" s="6"/>
      <c r="K457" s="6"/>
      <c r="L457" s="6"/>
      <c r="M457" s="41"/>
      <c r="N457" s="41"/>
      <c r="O457" s="41"/>
    </row>
    <row r="458" spans="1:15" s="20" customFormat="1" x14ac:dyDescent="0.2">
      <c r="A458" s="82"/>
      <c r="B458" s="6"/>
      <c r="C458" s="6"/>
      <c r="D458" s="7"/>
      <c r="E458" s="41"/>
      <c r="F458" s="41"/>
      <c r="G458" s="41"/>
      <c r="H458" s="41"/>
      <c r="I458" s="6"/>
      <c r="J458" s="6"/>
      <c r="K458" s="6"/>
      <c r="L458" s="6"/>
      <c r="M458" s="41"/>
      <c r="N458" s="41"/>
      <c r="O458" s="41"/>
    </row>
    <row r="459" spans="1:15" s="20" customFormat="1" x14ac:dyDescent="0.2">
      <c r="A459" s="82"/>
      <c r="B459" s="6"/>
      <c r="C459" s="6"/>
      <c r="D459" s="7"/>
      <c r="E459" s="41"/>
      <c r="F459" s="41"/>
      <c r="G459" s="41"/>
      <c r="H459" s="41"/>
      <c r="I459" s="6"/>
      <c r="J459" s="6"/>
      <c r="K459" s="6"/>
      <c r="L459" s="6"/>
      <c r="M459" s="41"/>
      <c r="N459" s="41"/>
      <c r="O459" s="41"/>
    </row>
    <row r="460" spans="1:15" s="20" customFormat="1" x14ac:dyDescent="0.2">
      <c r="A460" s="82"/>
      <c r="B460" s="6"/>
      <c r="C460" s="6"/>
      <c r="D460" s="7"/>
      <c r="E460" s="41"/>
      <c r="F460" s="41"/>
      <c r="G460" s="41"/>
      <c r="H460" s="41"/>
      <c r="I460" s="6"/>
      <c r="J460" s="6"/>
      <c r="K460" s="6"/>
      <c r="L460" s="6"/>
      <c r="M460" s="41"/>
      <c r="N460" s="41"/>
      <c r="O460" s="41"/>
    </row>
    <row r="461" spans="1:15" s="20" customFormat="1" x14ac:dyDescent="0.2">
      <c r="A461" s="82"/>
      <c r="B461" s="6"/>
      <c r="C461" s="6"/>
      <c r="D461" s="7"/>
      <c r="E461" s="41"/>
      <c r="F461" s="41"/>
      <c r="G461" s="41"/>
      <c r="H461" s="41"/>
      <c r="I461" s="6"/>
      <c r="J461" s="6"/>
      <c r="K461" s="6"/>
      <c r="L461" s="6"/>
      <c r="M461" s="41"/>
      <c r="N461" s="41"/>
      <c r="O461" s="41"/>
    </row>
    <row r="462" spans="1:15" s="20" customFormat="1" x14ac:dyDescent="0.2">
      <c r="A462" s="82"/>
      <c r="B462" s="6"/>
      <c r="C462" s="6"/>
      <c r="D462" s="7"/>
      <c r="E462" s="41"/>
      <c r="F462" s="41"/>
      <c r="G462" s="41"/>
      <c r="H462" s="41"/>
      <c r="I462" s="6"/>
      <c r="J462" s="6"/>
      <c r="K462" s="6"/>
      <c r="L462" s="6"/>
      <c r="M462" s="41"/>
      <c r="N462" s="41"/>
      <c r="O462" s="41"/>
    </row>
    <row r="463" spans="1:15" s="20" customFormat="1" x14ac:dyDescent="0.2">
      <c r="A463" s="82"/>
      <c r="B463" s="6"/>
      <c r="C463" s="6"/>
      <c r="D463" s="7"/>
      <c r="E463" s="41"/>
      <c r="F463" s="41"/>
      <c r="G463" s="41"/>
      <c r="H463" s="41"/>
      <c r="I463" s="6"/>
      <c r="J463" s="6"/>
      <c r="K463" s="6"/>
      <c r="L463" s="6"/>
      <c r="M463" s="41"/>
      <c r="N463" s="41"/>
      <c r="O463" s="41"/>
    </row>
    <row r="464" spans="1:15" s="20" customFormat="1" x14ac:dyDescent="0.2">
      <c r="A464" s="82"/>
      <c r="B464" s="6"/>
      <c r="C464" s="6"/>
      <c r="D464" s="7"/>
      <c r="E464" s="41"/>
      <c r="F464" s="41"/>
      <c r="G464" s="41"/>
      <c r="H464" s="41"/>
      <c r="I464" s="6"/>
      <c r="J464" s="6"/>
      <c r="K464" s="6"/>
      <c r="L464" s="6"/>
      <c r="M464" s="41"/>
      <c r="N464" s="41"/>
      <c r="O464" s="41"/>
    </row>
    <row r="465" spans="1:15" s="20" customFormat="1" x14ac:dyDescent="0.2">
      <c r="A465" s="82"/>
      <c r="B465" s="6"/>
      <c r="C465" s="6"/>
      <c r="D465" s="7"/>
      <c r="E465" s="41"/>
      <c r="F465" s="41"/>
      <c r="G465" s="41"/>
      <c r="H465" s="41"/>
      <c r="I465" s="6"/>
      <c r="J465" s="6"/>
      <c r="K465" s="6"/>
      <c r="L465" s="6"/>
      <c r="M465" s="41"/>
      <c r="N465" s="41"/>
      <c r="O465" s="41"/>
    </row>
    <row r="466" spans="1:15" s="20" customFormat="1" x14ac:dyDescent="0.2">
      <c r="A466" s="82"/>
      <c r="B466" s="6"/>
      <c r="C466" s="6"/>
      <c r="D466" s="7"/>
      <c r="E466" s="41"/>
      <c r="F466" s="41"/>
      <c r="G466" s="41"/>
      <c r="H466" s="41"/>
      <c r="I466" s="6"/>
      <c r="J466" s="6"/>
      <c r="K466" s="6"/>
      <c r="L466" s="6"/>
      <c r="M466" s="41"/>
      <c r="N466" s="41"/>
      <c r="O466" s="41"/>
    </row>
    <row r="467" spans="1:15" s="20" customFormat="1" x14ac:dyDescent="0.2">
      <c r="A467" s="82"/>
      <c r="B467" s="6"/>
      <c r="C467" s="6"/>
      <c r="D467" s="7"/>
      <c r="E467" s="41"/>
      <c r="F467" s="41"/>
      <c r="G467" s="41"/>
      <c r="H467" s="41"/>
      <c r="I467" s="6"/>
      <c r="J467" s="6"/>
      <c r="K467" s="6"/>
      <c r="L467" s="6"/>
      <c r="M467" s="41"/>
      <c r="N467" s="41"/>
      <c r="O467" s="41"/>
    </row>
    <row r="468" spans="1:15" s="20" customFormat="1" x14ac:dyDescent="0.2">
      <c r="A468" s="82"/>
      <c r="B468" s="6"/>
      <c r="C468" s="6"/>
      <c r="D468" s="7"/>
      <c r="E468" s="41"/>
      <c r="F468" s="41"/>
      <c r="G468" s="41"/>
      <c r="H468" s="41"/>
      <c r="I468" s="6"/>
      <c r="J468" s="6"/>
      <c r="K468" s="6"/>
      <c r="L468" s="6"/>
      <c r="M468" s="41"/>
      <c r="N468" s="41"/>
      <c r="O468" s="41"/>
    </row>
    <row r="469" spans="1:15" s="20" customFormat="1" x14ac:dyDescent="0.2">
      <c r="A469" s="82"/>
      <c r="B469" s="6"/>
      <c r="C469" s="6"/>
      <c r="D469" s="7"/>
      <c r="E469" s="41"/>
      <c r="F469" s="41"/>
      <c r="G469" s="41"/>
      <c r="H469" s="41"/>
      <c r="I469" s="6"/>
      <c r="J469" s="6"/>
      <c r="K469" s="6"/>
      <c r="L469" s="6"/>
      <c r="M469" s="41"/>
      <c r="N469" s="41"/>
      <c r="O469" s="41"/>
    </row>
    <row r="470" spans="1:15" s="20" customFormat="1" x14ac:dyDescent="0.2">
      <c r="A470" s="82"/>
      <c r="B470" s="6"/>
      <c r="C470" s="6"/>
      <c r="D470" s="7"/>
      <c r="E470" s="41"/>
      <c r="F470" s="41"/>
      <c r="G470" s="41"/>
      <c r="H470" s="41"/>
      <c r="I470" s="6"/>
      <c r="J470" s="6"/>
      <c r="K470" s="6"/>
      <c r="L470" s="6"/>
      <c r="M470" s="41"/>
      <c r="N470" s="41"/>
      <c r="O470" s="41"/>
    </row>
    <row r="471" spans="1:15" s="20" customFormat="1" x14ac:dyDescent="0.2">
      <c r="A471" s="82"/>
      <c r="B471" s="6"/>
      <c r="C471" s="6"/>
      <c r="D471" s="7"/>
      <c r="E471" s="41"/>
      <c r="F471" s="41"/>
      <c r="G471" s="41"/>
      <c r="H471" s="41"/>
      <c r="I471" s="6"/>
      <c r="J471" s="6"/>
      <c r="K471" s="6"/>
      <c r="L471" s="6"/>
      <c r="M471" s="41"/>
      <c r="N471" s="41"/>
      <c r="O471" s="41"/>
    </row>
    <row r="472" spans="1:15" s="20" customFormat="1" x14ac:dyDescent="0.2">
      <c r="A472" s="82"/>
      <c r="B472" s="6"/>
      <c r="C472" s="6"/>
      <c r="D472" s="7"/>
      <c r="E472" s="41"/>
      <c r="F472" s="41"/>
      <c r="G472" s="41"/>
      <c r="H472" s="41"/>
      <c r="I472" s="6"/>
      <c r="J472" s="6"/>
      <c r="K472" s="6"/>
      <c r="L472" s="6"/>
      <c r="M472" s="41"/>
      <c r="N472" s="41"/>
      <c r="O472" s="41"/>
    </row>
    <row r="473" spans="1:15" s="20" customFormat="1" x14ac:dyDescent="0.2">
      <c r="A473" s="82"/>
      <c r="B473" s="6"/>
      <c r="C473" s="6"/>
      <c r="D473" s="7"/>
      <c r="E473" s="41"/>
      <c r="F473" s="41"/>
      <c r="G473" s="41"/>
      <c r="H473" s="41"/>
      <c r="I473" s="6"/>
      <c r="J473" s="6"/>
      <c r="K473" s="6"/>
      <c r="L473" s="6"/>
      <c r="M473" s="41"/>
      <c r="N473" s="41"/>
      <c r="O473" s="41"/>
    </row>
    <row r="474" spans="1:15" s="20" customFormat="1" x14ac:dyDescent="0.2">
      <c r="A474" s="82"/>
      <c r="B474" s="6"/>
      <c r="C474" s="6"/>
      <c r="D474" s="7"/>
      <c r="E474" s="41"/>
      <c r="F474" s="41"/>
      <c r="G474" s="41"/>
      <c r="H474" s="41"/>
      <c r="I474" s="6"/>
      <c r="J474" s="6"/>
      <c r="K474" s="6"/>
      <c r="L474" s="6"/>
      <c r="M474" s="41"/>
      <c r="N474" s="41"/>
      <c r="O474" s="41"/>
    </row>
    <row r="475" spans="1:15" s="20" customFormat="1" x14ac:dyDescent="0.2">
      <c r="A475" s="82"/>
      <c r="B475" s="6"/>
      <c r="C475" s="6"/>
      <c r="D475" s="7"/>
      <c r="E475" s="41"/>
      <c r="F475" s="41"/>
      <c r="G475" s="41"/>
      <c r="H475" s="41"/>
      <c r="I475" s="6"/>
      <c r="J475" s="6"/>
      <c r="K475" s="6"/>
      <c r="L475" s="6"/>
      <c r="M475" s="41"/>
      <c r="N475" s="41"/>
      <c r="O475" s="41"/>
    </row>
    <row r="476" spans="1:15" s="20" customFormat="1" x14ac:dyDescent="0.2">
      <c r="A476" s="82"/>
      <c r="B476" s="6"/>
      <c r="C476" s="6"/>
      <c r="D476" s="7"/>
      <c r="E476" s="41"/>
      <c r="F476" s="41"/>
      <c r="G476" s="41"/>
      <c r="H476" s="41"/>
      <c r="I476" s="6"/>
      <c r="J476" s="6"/>
      <c r="K476" s="6"/>
      <c r="L476" s="6"/>
      <c r="M476" s="41"/>
      <c r="N476" s="41"/>
      <c r="O476" s="41"/>
    </row>
    <row r="477" spans="1:15" s="20" customFormat="1" x14ac:dyDescent="0.2">
      <c r="A477" s="82"/>
      <c r="B477" s="6"/>
      <c r="C477" s="6"/>
      <c r="D477" s="7"/>
      <c r="E477" s="41"/>
      <c r="F477" s="41"/>
      <c r="G477" s="41"/>
      <c r="H477" s="41"/>
      <c r="I477" s="6"/>
      <c r="J477" s="6"/>
      <c r="K477" s="6"/>
      <c r="L477" s="6"/>
      <c r="M477" s="41"/>
      <c r="N477" s="41"/>
      <c r="O477" s="41"/>
    </row>
    <row r="478" spans="1:15" s="20" customFormat="1" x14ac:dyDescent="0.2">
      <c r="A478" s="82"/>
      <c r="B478" s="6"/>
      <c r="C478" s="6"/>
      <c r="D478" s="7"/>
      <c r="E478" s="41"/>
      <c r="F478" s="41"/>
      <c r="G478" s="41"/>
      <c r="H478" s="41"/>
      <c r="I478" s="6"/>
      <c r="J478" s="6"/>
      <c r="K478" s="6"/>
      <c r="L478" s="6"/>
      <c r="M478" s="41"/>
      <c r="N478" s="41"/>
      <c r="O478" s="41"/>
    </row>
    <row r="479" spans="1:15" s="20" customFormat="1" x14ac:dyDescent="0.2">
      <c r="A479" s="82"/>
      <c r="B479" s="6"/>
      <c r="C479" s="6"/>
      <c r="D479" s="7"/>
      <c r="E479" s="41"/>
      <c r="F479" s="41"/>
      <c r="G479" s="41"/>
      <c r="H479" s="41"/>
      <c r="I479" s="6"/>
      <c r="J479" s="6"/>
      <c r="K479" s="6"/>
      <c r="L479" s="6"/>
      <c r="M479" s="41"/>
      <c r="N479" s="41"/>
      <c r="O479" s="41"/>
    </row>
    <row r="480" spans="1:15" s="20" customFormat="1" x14ac:dyDescent="0.2">
      <c r="A480" s="82"/>
      <c r="B480" s="6"/>
      <c r="C480" s="6"/>
      <c r="D480" s="7"/>
      <c r="E480" s="41"/>
      <c r="F480" s="41"/>
      <c r="G480" s="41"/>
      <c r="H480" s="41"/>
      <c r="I480" s="6"/>
      <c r="J480" s="6"/>
      <c r="K480" s="6"/>
      <c r="L480" s="6"/>
      <c r="M480" s="41"/>
      <c r="N480" s="41"/>
      <c r="O480" s="41"/>
    </row>
    <row r="481" spans="1:15" s="20" customFormat="1" x14ac:dyDescent="0.2">
      <c r="A481" s="82"/>
      <c r="B481" s="6"/>
      <c r="C481" s="6"/>
      <c r="D481" s="7"/>
      <c r="E481" s="41"/>
      <c r="F481" s="41"/>
      <c r="G481" s="41"/>
      <c r="H481" s="41"/>
      <c r="I481" s="6"/>
      <c r="J481" s="6"/>
      <c r="K481" s="6"/>
      <c r="L481" s="6"/>
      <c r="M481" s="41"/>
      <c r="N481" s="41"/>
      <c r="O481" s="41"/>
    </row>
    <row r="482" spans="1:15" s="20" customFormat="1" x14ac:dyDescent="0.2">
      <c r="A482" s="82"/>
      <c r="B482" s="6"/>
      <c r="C482" s="6"/>
      <c r="D482" s="7"/>
      <c r="E482" s="41"/>
      <c r="F482" s="41"/>
      <c r="G482" s="41"/>
      <c r="H482" s="41"/>
      <c r="I482" s="6"/>
      <c r="J482" s="6"/>
      <c r="K482" s="6"/>
      <c r="L482" s="6"/>
      <c r="M482" s="41"/>
      <c r="N482" s="41"/>
      <c r="O482" s="41"/>
    </row>
    <row r="483" spans="1:15" s="20" customFormat="1" x14ac:dyDescent="0.2">
      <c r="A483" s="82"/>
      <c r="B483" s="6"/>
      <c r="C483" s="6"/>
      <c r="D483" s="7"/>
      <c r="E483" s="41"/>
      <c r="F483" s="41"/>
      <c r="G483" s="41"/>
      <c r="H483" s="41"/>
      <c r="I483" s="6"/>
      <c r="J483" s="6"/>
      <c r="K483" s="6"/>
      <c r="L483" s="6"/>
      <c r="M483" s="41"/>
      <c r="N483" s="41"/>
      <c r="O483" s="41"/>
    </row>
    <row r="484" spans="1:15" s="20" customFormat="1" x14ac:dyDescent="0.2">
      <c r="A484" s="82"/>
      <c r="B484" s="6"/>
      <c r="C484" s="6"/>
      <c r="D484" s="7"/>
      <c r="E484" s="41"/>
      <c r="F484" s="41"/>
      <c r="G484" s="41"/>
      <c r="H484" s="41"/>
      <c r="I484" s="6"/>
      <c r="J484" s="6"/>
      <c r="K484" s="6"/>
      <c r="L484" s="6"/>
      <c r="M484" s="41"/>
      <c r="N484" s="41"/>
      <c r="O484" s="41"/>
    </row>
    <row r="485" spans="1:15" s="20" customFormat="1" x14ac:dyDescent="0.2">
      <c r="A485" s="82"/>
      <c r="B485" s="6"/>
      <c r="C485" s="6"/>
      <c r="D485" s="7"/>
      <c r="E485" s="41"/>
      <c r="F485" s="41"/>
      <c r="G485" s="41"/>
      <c r="H485" s="41"/>
      <c r="I485" s="6"/>
      <c r="J485" s="6"/>
      <c r="K485" s="6"/>
      <c r="L485" s="6"/>
      <c r="M485" s="41"/>
      <c r="N485" s="41"/>
      <c r="O485" s="41"/>
    </row>
    <row r="486" spans="1:15" s="20" customFormat="1" x14ac:dyDescent="0.2">
      <c r="A486" s="82"/>
      <c r="B486" s="6"/>
      <c r="C486" s="6"/>
      <c r="D486" s="7"/>
      <c r="E486" s="41"/>
      <c r="F486" s="41"/>
      <c r="G486" s="41"/>
      <c r="H486" s="41"/>
      <c r="I486" s="6"/>
      <c r="J486" s="6"/>
      <c r="K486" s="6"/>
      <c r="L486" s="6"/>
      <c r="M486" s="41"/>
      <c r="N486" s="41"/>
      <c r="O486" s="41"/>
    </row>
    <row r="487" spans="1:15" s="20" customFormat="1" x14ac:dyDescent="0.2">
      <c r="A487" s="82"/>
      <c r="B487" s="6"/>
      <c r="C487" s="6"/>
      <c r="D487" s="7"/>
      <c r="E487" s="41"/>
      <c r="F487" s="41"/>
      <c r="G487" s="41"/>
      <c r="H487" s="41"/>
      <c r="I487" s="6"/>
      <c r="J487" s="6"/>
      <c r="K487" s="6"/>
      <c r="L487" s="6"/>
      <c r="M487" s="41"/>
      <c r="N487" s="41"/>
      <c r="O487" s="41"/>
    </row>
    <row r="488" spans="1:15" s="20" customFormat="1" x14ac:dyDescent="0.2">
      <c r="A488" s="82"/>
      <c r="B488" s="6"/>
      <c r="C488" s="6"/>
      <c r="D488" s="7"/>
      <c r="E488" s="41"/>
      <c r="F488" s="41"/>
      <c r="G488" s="41"/>
      <c r="H488" s="41"/>
      <c r="I488" s="6"/>
      <c r="J488" s="6"/>
      <c r="K488" s="6"/>
      <c r="L488" s="6"/>
      <c r="M488" s="41"/>
      <c r="N488" s="41"/>
      <c r="O488" s="41"/>
    </row>
    <row r="489" spans="1:15" s="20" customFormat="1" x14ac:dyDescent="0.2">
      <c r="A489" s="82"/>
      <c r="B489" s="6"/>
      <c r="C489" s="6"/>
      <c r="D489" s="7"/>
      <c r="E489" s="41"/>
      <c r="F489" s="41"/>
      <c r="G489" s="41"/>
      <c r="H489" s="41"/>
      <c r="I489" s="6"/>
      <c r="J489" s="6"/>
      <c r="K489" s="6"/>
      <c r="L489" s="6"/>
      <c r="M489" s="41"/>
      <c r="N489" s="41"/>
      <c r="O489" s="41"/>
    </row>
    <row r="490" spans="1:15" s="20" customFormat="1" x14ac:dyDescent="0.2">
      <c r="A490" s="82"/>
      <c r="B490" s="6"/>
      <c r="C490" s="6"/>
      <c r="D490" s="7"/>
      <c r="E490" s="41"/>
      <c r="F490" s="41"/>
      <c r="G490" s="41"/>
      <c r="H490" s="41"/>
      <c r="I490" s="6"/>
      <c r="J490" s="6"/>
      <c r="K490" s="6"/>
      <c r="L490" s="6"/>
      <c r="M490" s="41"/>
      <c r="N490" s="41"/>
      <c r="O490" s="41"/>
    </row>
    <row r="491" spans="1:15" s="20" customFormat="1" x14ac:dyDescent="0.2">
      <c r="A491" s="82"/>
      <c r="B491" s="6"/>
      <c r="C491" s="6"/>
      <c r="D491" s="7"/>
      <c r="E491" s="41"/>
      <c r="F491" s="41"/>
      <c r="G491" s="41"/>
      <c r="H491" s="41"/>
      <c r="I491" s="6"/>
      <c r="J491" s="6"/>
      <c r="K491" s="6"/>
      <c r="L491" s="6"/>
      <c r="M491" s="41"/>
      <c r="N491" s="41"/>
      <c r="O491" s="41"/>
    </row>
    <row r="492" spans="1:15" s="20" customFormat="1" x14ac:dyDescent="0.2">
      <c r="A492" s="82"/>
      <c r="B492" s="6"/>
      <c r="C492" s="6"/>
      <c r="D492" s="7"/>
      <c r="E492" s="41"/>
      <c r="F492" s="41"/>
      <c r="G492" s="41"/>
      <c r="H492" s="41"/>
      <c r="I492" s="6"/>
      <c r="J492" s="6"/>
      <c r="K492" s="6"/>
      <c r="L492" s="6"/>
      <c r="M492" s="41"/>
      <c r="N492" s="41"/>
      <c r="O492" s="41"/>
    </row>
    <row r="493" spans="1:15" s="20" customFormat="1" x14ac:dyDescent="0.2">
      <c r="A493" s="82"/>
      <c r="B493" s="6"/>
      <c r="C493" s="6"/>
      <c r="D493" s="7"/>
      <c r="E493" s="41"/>
      <c r="F493" s="41"/>
      <c r="G493" s="41"/>
      <c r="H493" s="41"/>
      <c r="I493" s="6"/>
      <c r="J493" s="6"/>
      <c r="K493" s="6"/>
      <c r="L493" s="6"/>
      <c r="M493" s="41"/>
      <c r="N493" s="41"/>
      <c r="O493" s="41"/>
    </row>
    <row r="494" spans="1:15" s="20" customFormat="1" x14ac:dyDescent="0.2">
      <c r="A494" s="82"/>
      <c r="B494" s="6"/>
      <c r="C494" s="6"/>
      <c r="D494" s="7"/>
      <c r="E494" s="41"/>
      <c r="F494" s="41"/>
      <c r="G494" s="41"/>
      <c r="H494" s="41"/>
      <c r="I494" s="6"/>
      <c r="J494" s="6"/>
      <c r="K494" s="6"/>
      <c r="L494" s="6"/>
      <c r="M494" s="41"/>
      <c r="N494" s="41"/>
      <c r="O494" s="41"/>
    </row>
    <row r="495" spans="1:15" s="20" customFormat="1" x14ac:dyDescent="0.2">
      <c r="A495" s="82"/>
      <c r="B495" s="6"/>
      <c r="C495" s="6"/>
      <c r="D495" s="7"/>
      <c r="E495" s="41"/>
      <c r="F495" s="41"/>
      <c r="G495" s="41"/>
      <c r="H495" s="41"/>
      <c r="I495" s="6"/>
      <c r="J495" s="6"/>
      <c r="K495" s="6"/>
      <c r="L495" s="6"/>
      <c r="M495" s="41"/>
      <c r="N495" s="41"/>
      <c r="O495" s="41"/>
    </row>
    <row r="496" spans="1:15" s="20" customFormat="1" x14ac:dyDescent="0.2">
      <c r="A496" s="82"/>
      <c r="B496" s="6"/>
      <c r="C496" s="6"/>
      <c r="D496" s="7"/>
      <c r="E496" s="41"/>
      <c r="F496" s="41"/>
      <c r="G496" s="41"/>
      <c r="H496" s="41"/>
      <c r="I496" s="6"/>
      <c r="J496" s="6"/>
      <c r="K496" s="6"/>
      <c r="L496" s="6"/>
      <c r="M496" s="41"/>
      <c r="N496" s="41"/>
      <c r="O496" s="41"/>
    </row>
    <row r="497" spans="1:15" s="20" customFormat="1" x14ac:dyDescent="0.2">
      <c r="A497" s="82"/>
      <c r="B497" s="6"/>
      <c r="C497" s="6"/>
      <c r="D497" s="7"/>
      <c r="E497" s="41"/>
      <c r="F497" s="41"/>
      <c r="G497" s="41"/>
      <c r="H497" s="41"/>
      <c r="I497" s="6"/>
      <c r="J497" s="6"/>
      <c r="K497" s="6"/>
      <c r="L497" s="6"/>
      <c r="M497" s="41"/>
      <c r="N497" s="41"/>
      <c r="O497" s="41"/>
    </row>
    <row r="498" spans="1:15" s="20" customFormat="1" x14ac:dyDescent="0.2">
      <c r="A498" s="82"/>
      <c r="B498" s="6"/>
      <c r="C498" s="6"/>
      <c r="D498" s="7"/>
      <c r="E498" s="41"/>
      <c r="F498" s="41"/>
      <c r="G498" s="41"/>
      <c r="H498" s="41"/>
      <c r="I498" s="6"/>
      <c r="J498" s="6"/>
      <c r="K498" s="6"/>
      <c r="L498" s="6"/>
      <c r="M498" s="41"/>
      <c r="N498" s="41"/>
      <c r="O498" s="41"/>
    </row>
    <row r="499" spans="1:15" s="20" customFormat="1" x14ac:dyDescent="0.2">
      <c r="A499" s="82"/>
      <c r="B499" s="6"/>
      <c r="C499" s="6"/>
      <c r="D499" s="7"/>
      <c r="E499" s="41"/>
      <c r="F499" s="41"/>
      <c r="G499" s="41"/>
      <c r="H499" s="41"/>
      <c r="I499" s="6"/>
      <c r="J499" s="6"/>
      <c r="K499" s="6"/>
      <c r="L499" s="6"/>
      <c r="M499" s="41"/>
      <c r="N499" s="41"/>
      <c r="O499" s="41"/>
    </row>
    <row r="500" spans="1:15" s="20" customFormat="1" x14ac:dyDescent="0.2">
      <c r="A500" s="82"/>
      <c r="B500" s="6"/>
      <c r="C500" s="6"/>
      <c r="D500" s="7"/>
      <c r="E500" s="41"/>
      <c r="F500" s="41"/>
      <c r="G500" s="41"/>
      <c r="H500" s="41"/>
      <c r="I500" s="6"/>
      <c r="J500" s="6"/>
      <c r="K500" s="6"/>
      <c r="L500" s="6"/>
      <c r="M500" s="41"/>
      <c r="N500" s="41"/>
      <c r="O500" s="41"/>
    </row>
    <row r="501" spans="1:15" s="20" customFormat="1" x14ac:dyDescent="0.2">
      <c r="A501" s="82"/>
      <c r="B501" s="6"/>
      <c r="C501" s="6"/>
      <c r="D501" s="7"/>
      <c r="E501" s="41"/>
      <c r="F501" s="41"/>
      <c r="G501" s="41"/>
      <c r="H501" s="41"/>
      <c r="I501" s="6"/>
      <c r="J501" s="6"/>
      <c r="K501" s="6"/>
      <c r="L501" s="6"/>
      <c r="M501" s="41"/>
      <c r="N501" s="41"/>
      <c r="O501" s="41"/>
    </row>
    <row r="502" spans="1:15" s="20" customFormat="1" x14ac:dyDescent="0.2">
      <c r="A502" s="82"/>
      <c r="B502" s="6"/>
      <c r="C502" s="6"/>
      <c r="D502" s="7"/>
      <c r="E502" s="41"/>
      <c r="F502" s="41"/>
      <c r="G502" s="41"/>
      <c r="H502" s="41"/>
      <c r="I502" s="6"/>
      <c r="J502" s="6"/>
      <c r="K502" s="6"/>
      <c r="L502" s="6"/>
      <c r="M502" s="41"/>
      <c r="N502" s="41"/>
      <c r="O502" s="41"/>
    </row>
    <row r="503" spans="1:15" s="20" customFormat="1" x14ac:dyDescent="0.2">
      <c r="A503" s="82"/>
      <c r="B503" s="6"/>
      <c r="C503" s="6"/>
      <c r="D503" s="7"/>
      <c r="E503" s="41"/>
      <c r="F503" s="41"/>
      <c r="G503" s="41"/>
      <c r="H503" s="41"/>
      <c r="I503" s="6"/>
      <c r="J503" s="6"/>
      <c r="K503" s="6"/>
      <c r="L503" s="6"/>
      <c r="M503" s="41"/>
      <c r="N503" s="41"/>
      <c r="O503" s="41"/>
    </row>
    <row r="504" spans="1:15" s="20" customFormat="1" x14ac:dyDescent="0.2">
      <c r="A504" s="82"/>
      <c r="B504" s="6"/>
      <c r="C504" s="6"/>
      <c r="D504" s="7"/>
      <c r="E504" s="41"/>
      <c r="F504" s="41"/>
      <c r="G504" s="41"/>
      <c r="H504" s="41"/>
      <c r="I504" s="6"/>
      <c r="J504" s="6"/>
      <c r="K504" s="6"/>
      <c r="L504" s="6"/>
      <c r="M504" s="41"/>
      <c r="N504" s="41"/>
      <c r="O504" s="41"/>
    </row>
    <row r="505" spans="1:15" s="20" customFormat="1" x14ac:dyDescent="0.2">
      <c r="A505" s="82"/>
      <c r="B505" s="6"/>
      <c r="C505" s="6"/>
      <c r="D505" s="7"/>
      <c r="E505" s="41"/>
      <c r="F505" s="41"/>
      <c r="G505" s="41"/>
      <c r="H505" s="41"/>
      <c r="I505" s="6"/>
      <c r="J505" s="6"/>
      <c r="K505" s="6"/>
      <c r="L505" s="6"/>
      <c r="M505" s="41"/>
      <c r="N505" s="41"/>
      <c r="O505" s="41"/>
    </row>
    <row r="506" spans="1:15" s="20" customFormat="1" x14ac:dyDescent="0.2">
      <c r="A506" s="82"/>
      <c r="B506" s="6"/>
      <c r="C506" s="6"/>
      <c r="D506" s="7"/>
      <c r="E506" s="41"/>
      <c r="F506" s="41"/>
      <c r="G506" s="41"/>
      <c r="H506" s="41"/>
      <c r="I506" s="6"/>
      <c r="J506" s="6"/>
      <c r="K506" s="6"/>
      <c r="L506" s="6"/>
      <c r="M506" s="41"/>
      <c r="N506" s="41"/>
      <c r="O506" s="41"/>
    </row>
    <row r="507" spans="1:15" s="20" customFormat="1" x14ac:dyDescent="0.2">
      <c r="A507" s="82"/>
      <c r="B507" s="6"/>
      <c r="C507" s="6"/>
      <c r="D507" s="7"/>
      <c r="E507" s="41"/>
      <c r="F507" s="41"/>
      <c r="G507" s="41"/>
      <c r="H507" s="41"/>
      <c r="I507" s="6"/>
      <c r="J507" s="6"/>
      <c r="K507" s="6"/>
      <c r="L507" s="6"/>
      <c r="M507" s="41"/>
      <c r="N507" s="41"/>
      <c r="O507" s="41"/>
    </row>
    <row r="508" spans="1:15" s="20" customFormat="1" x14ac:dyDescent="0.2">
      <c r="A508" s="82"/>
      <c r="B508" s="6"/>
      <c r="C508" s="6"/>
      <c r="D508" s="7"/>
      <c r="E508" s="41"/>
      <c r="F508" s="41"/>
      <c r="G508" s="41"/>
      <c r="H508" s="41"/>
      <c r="I508" s="6"/>
      <c r="J508" s="6"/>
      <c r="K508" s="6"/>
      <c r="L508" s="6"/>
      <c r="M508" s="41"/>
      <c r="N508" s="41"/>
      <c r="O508" s="41"/>
    </row>
    <row r="509" spans="1:15" s="20" customFormat="1" x14ac:dyDescent="0.2">
      <c r="A509" s="82"/>
      <c r="B509" s="6"/>
      <c r="C509" s="6"/>
      <c r="D509" s="7"/>
      <c r="E509" s="41"/>
      <c r="F509" s="41"/>
      <c r="G509" s="41"/>
      <c r="H509" s="41"/>
      <c r="I509" s="6"/>
      <c r="J509" s="6"/>
      <c r="K509" s="6"/>
      <c r="L509" s="6"/>
      <c r="M509" s="41"/>
      <c r="N509" s="41"/>
      <c r="O509" s="41"/>
    </row>
    <row r="510" spans="1:15" s="20" customFormat="1" x14ac:dyDescent="0.2">
      <c r="A510" s="82"/>
      <c r="B510" s="6"/>
      <c r="C510" s="6"/>
      <c r="D510" s="7"/>
      <c r="E510" s="41"/>
      <c r="F510" s="41"/>
      <c r="G510" s="41"/>
      <c r="H510" s="41"/>
      <c r="I510" s="6"/>
      <c r="J510" s="6"/>
      <c r="K510" s="6"/>
      <c r="L510" s="6"/>
      <c r="M510" s="41"/>
      <c r="N510" s="41"/>
      <c r="O510" s="41"/>
    </row>
    <row r="511" spans="1:15" s="20" customFormat="1" x14ac:dyDescent="0.2">
      <c r="A511" s="82"/>
      <c r="B511" s="6"/>
      <c r="C511" s="6"/>
      <c r="D511" s="7"/>
      <c r="E511" s="41"/>
      <c r="F511" s="41"/>
      <c r="G511" s="41"/>
      <c r="H511" s="41"/>
      <c r="I511" s="6"/>
      <c r="J511" s="6"/>
      <c r="K511" s="6"/>
      <c r="L511" s="6"/>
      <c r="M511" s="41"/>
      <c r="N511" s="41"/>
      <c r="O511" s="41"/>
    </row>
    <row r="512" spans="1:15" s="20" customFormat="1" x14ac:dyDescent="0.2">
      <c r="A512" s="82"/>
      <c r="B512" s="6"/>
      <c r="C512" s="6"/>
      <c r="D512" s="7"/>
      <c r="E512" s="41"/>
      <c r="F512" s="41"/>
      <c r="G512" s="41"/>
      <c r="H512" s="41"/>
      <c r="I512" s="6"/>
      <c r="J512" s="6"/>
      <c r="K512" s="6"/>
      <c r="L512" s="6"/>
      <c r="M512" s="41"/>
      <c r="N512" s="41"/>
      <c r="O512" s="41"/>
    </row>
    <row r="513" spans="2:15" x14ac:dyDescent="0.2">
      <c r="B513" s="6"/>
      <c r="C513" s="6"/>
      <c r="D513" s="7"/>
      <c r="E513" s="41"/>
      <c r="F513" s="41"/>
      <c r="G513" s="41"/>
      <c r="H513" s="41"/>
      <c r="I513" s="6"/>
      <c r="J513" s="6"/>
      <c r="K513" s="6"/>
      <c r="L513" s="6"/>
      <c r="M513" s="41"/>
      <c r="N513" s="41"/>
      <c r="O513" s="41"/>
    </row>
    <row r="514" spans="2:15" x14ac:dyDescent="0.2">
      <c r="B514" s="6"/>
      <c r="C514" s="6"/>
      <c r="D514" s="7"/>
      <c r="E514" s="41"/>
      <c r="F514" s="41"/>
      <c r="G514" s="41"/>
      <c r="H514" s="41"/>
      <c r="I514" s="6"/>
      <c r="J514" s="6"/>
      <c r="K514" s="6"/>
      <c r="L514" s="6"/>
      <c r="M514" s="41"/>
      <c r="N514" s="41"/>
      <c r="O514" s="41"/>
    </row>
    <row r="515" spans="2:15" x14ac:dyDescent="0.2">
      <c r="B515" s="6"/>
      <c r="C515" s="6"/>
      <c r="D515" s="7"/>
      <c r="E515" s="41"/>
      <c r="F515" s="41"/>
      <c r="G515" s="41"/>
      <c r="H515" s="41"/>
      <c r="I515" s="6"/>
      <c r="J515" s="6"/>
      <c r="K515" s="6"/>
      <c r="L515" s="6"/>
      <c r="M515" s="41"/>
      <c r="N515" s="41"/>
      <c r="O515" s="41"/>
    </row>
    <row r="516" spans="2:15" x14ac:dyDescent="0.2">
      <c r="B516" s="6"/>
      <c r="C516" s="6"/>
      <c r="D516" s="7"/>
      <c r="E516" s="41"/>
      <c r="F516" s="41"/>
      <c r="G516" s="41"/>
      <c r="H516" s="41"/>
      <c r="I516" s="6"/>
      <c r="J516" s="6"/>
      <c r="K516" s="6"/>
      <c r="L516" s="6"/>
      <c r="M516" s="41"/>
      <c r="N516" s="41"/>
      <c r="O516" s="41"/>
    </row>
    <row r="517" spans="2:15" x14ac:dyDescent="0.2">
      <c r="B517" s="6"/>
      <c r="C517" s="6"/>
      <c r="D517" s="7"/>
      <c r="E517" s="41"/>
      <c r="F517" s="41"/>
      <c r="G517" s="41"/>
      <c r="H517" s="41"/>
      <c r="I517" s="6"/>
      <c r="J517" s="6"/>
      <c r="K517" s="6"/>
      <c r="L517" s="6"/>
      <c r="M517" s="41"/>
      <c r="N517" s="41"/>
      <c r="O517" s="41"/>
    </row>
    <row r="518" spans="2:15" x14ac:dyDescent="0.2">
      <c r="B518" s="6"/>
      <c r="C518" s="6"/>
      <c r="D518" s="7"/>
      <c r="E518" s="41"/>
      <c r="F518" s="41"/>
      <c r="G518" s="41"/>
      <c r="H518" s="41"/>
      <c r="I518" s="6"/>
      <c r="J518" s="6"/>
      <c r="K518" s="6"/>
      <c r="L518" s="6"/>
      <c r="M518" s="41"/>
      <c r="N518" s="41"/>
      <c r="O518" s="41"/>
    </row>
    <row r="519" spans="2:15" x14ac:dyDescent="0.2">
      <c r="B519" s="6"/>
      <c r="C519" s="6"/>
      <c r="D519" s="7"/>
      <c r="E519" s="41"/>
      <c r="F519" s="41"/>
      <c r="G519" s="41"/>
      <c r="H519" s="41"/>
      <c r="I519" s="6"/>
      <c r="J519" s="6"/>
      <c r="K519" s="6"/>
      <c r="L519" s="6"/>
      <c r="M519" s="41"/>
      <c r="N519" s="41"/>
      <c r="O519" s="41"/>
    </row>
  </sheetData>
  <autoFilter ref="A7:P439">
    <filterColumn colId="7" showButton="0"/>
    <filterColumn colId="8" showButton="0"/>
    <filterColumn colId="9" showButton="0"/>
    <filterColumn colId="10" showButton="0"/>
  </autoFilter>
  <mergeCells count="42">
    <mergeCell ref="A440:J440"/>
    <mergeCell ref="A438:J438"/>
    <mergeCell ref="A439:J439"/>
    <mergeCell ref="B363:L363"/>
    <mergeCell ref="B395:L395"/>
    <mergeCell ref="B362:H362"/>
    <mergeCell ref="B394:H394"/>
    <mergeCell ref="B436:H436"/>
    <mergeCell ref="B435:H435"/>
    <mergeCell ref="A437:J437"/>
    <mergeCell ref="A7:A9"/>
    <mergeCell ref="B7:B9"/>
    <mergeCell ref="C7:C9"/>
    <mergeCell ref="D7:D9"/>
    <mergeCell ref="B307:L307"/>
    <mergeCell ref="B252:L252"/>
    <mergeCell ref="B11:L11"/>
    <mergeCell ref="B69:L69"/>
    <mergeCell ref="B68:H68"/>
    <mergeCell ref="B251:H251"/>
    <mergeCell ref="B306:H306"/>
    <mergeCell ref="L5:V5"/>
    <mergeCell ref="E7:E9"/>
    <mergeCell ref="G7:G9"/>
    <mergeCell ref="I8:I9"/>
    <mergeCell ref="J8:J9"/>
    <mergeCell ref="U2:V2"/>
    <mergeCell ref="F7:F9"/>
    <mergeCell ref="M7:M9"/>
    <mergeCell ref="R7:R9"/>
    <mergeCell ref="H7:H9"/>
    <mergeCell ref="I7:J7"/>
    <mergeCell ref="K7:K9"/>
    <mergeCell ref="L7:L9"/>
    <mergeCell ref="N7:N9"/>
    <mergeCell ref="O7:O9"/>
    <mergeCell ref="P7:P9"/>
    <mergeCell ref="Q7:Q9"/>
    <mergeCell ref="B2:K3"/>
    <mergeCell ref="B4:K4"/>
    <mergeCell ref="B5:K5"/>
    <mergeCell ref="B6:K6"/>
  </mergeCells>
  <pageMargins left="0.23622047244094491" right="0.23622047244094491" top="0.14000000000000001" bottom="0.33" header="0.31496062992125984" footer="0.31496062992125984"/>
  <pageSetup paperSize="9" scale="65" fitToHeight="0" orientation="landscape" r:id="rId1"/>
  <headerFooter alignWithMargins="0">
    <oddFooter>Страница &amp;P</oddFooter>
  </headerFooter>
  <rowBreaks count="4" manualBreakCount="4">
    <brk id="167" max="16383" man="1"/>
    <brk id="178" max="10" man="1"/>
    <brk id="306" max="10" man="1"/>
    <brk id="4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мониторинга</vt:lpstr>
      <vt:lpstr>'Форма мониторинга'!Заголовки_для_печати</vt:lpstr>
      <vt:lpstr>'Форма мониторинга'!Область_печати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Арихина Ирина Николаевна</dc:creator>
  <cp:lastModifiedBy>Перфильева Татьяна Олеговна</cp:lastModifiedBy>
  <cp:lastPrinted>2014-09-25T04:57:29Z</cp:lastPrinted>
  <dcterms:created xsi:type="dcterms:W3CDTF">2014-06-11T10:39:58Z</dcterms:created>
  <dcterms:modified xsi:type="dcterms:W3CDTF">2014-10-15T07:11:24Z</dcterms:modified>
</cp:coreProperties>
</file>