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05" yWindow="165" windowWidth="22695" windowHeight="12735" tabRatio="604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Лист1!$A$1:$P$308</definedName>
    <definedName name="_xlnm.Print_Titles" localSheetId="0">Лист1!$7:$9</definedName>
    <definedName name="_xlnm.Print_Area" localSheetId="0">Лист1!$A$1:$O$312</definedName>
  </definedNames>
  <calcPr calcId="145621"/>
</workbook>
</file>

<file path=xl/calcChain.xml><?xml version="1.0" encoding="utf-8"?>
<calcChain xmlns="http://schemas.openxmlformats.org/spreadsheetml/2006/main">
  <c r="K302" i="1" l="1"/>
  <c r="J302" i="1"/>
  <c r="I302" i="1"/>
  <c r="K294" i="1"/>
  <c r="J294" i="1"/>
  <c r="K248" i="1"/>
  <c r="J248" i="1"/>
  <c r="I248" i="1"/>
  <c r="K237" i="1"/>
  <c r="J237" i="1"/>
  <c r="I237" i="1"/>
  <c r="K233" i="1"/>
  <c r="J233" i="1"/>
  <c r="I233" i="1"/>
  <c r="K227" i="1"/>
  <c r="J227" i="1"/>
  <c r="I227" i="1"/>
  <c r="K215" i="1"/>
  <c r="J215" i="1"/>
  <c r="I215" i="1"/>
  <c r="K209" i="1"/>
  <c r="J209" i="1"/>
  <c r="I209" i="1"/>
  <c r="K187" i="1"/>
  <c r="J187" i="1"/>
  <c r="I187" i="1"/>
  <c r="K162" i="1"/>
  <c r="J162" i="1"/>
  <c r="I162" i="1"/>
  <c r="K150" i="1"/>
  <c r="J150" i="1"/>
  <c r="I150" i="1"/>
  <c r="K144" i="1"/>
  <c r="J144" i="1"/>
  <c r="I144" i="1"/>
  <c r="K140" i="1"/>
  <c r="J140" i="1"/>
  <c r="I140" i="1"/>
  <c r="K137" i="1"/>
  <c r="J137" i="1"/>
  <c r="I137" i="1"/>
  <c r="K127" i="1"/>
  <c r="J127" i="1"/>
  <c r="I127" i="1"/>
  <c r="K111" i="1"/>
  <c r="J111" i="1"/>
  <c r="I111" i="1"/>
  <c r="K103" i="1"/>
  <c r="J103" i="1"/>
  <c r="I103" i="1"/>
  <c r="K97" i="1"/>
  <c r="J97" i="1"/>
  <c r="I97" i="1"/>
  <c r="K92" i="1"/>
  <c r="J92" i="1"/>
  <c r="I92" i="1"/>
  <c r="K43" i="1"/>
  <c r="J43" i="1"/>
  <c r="I43" i="1"/>
  <c r="K17" i="1"/>
  <c r="I17" i="1"/>
  <c r="J17" i="1"/>
  <c r="J131" i="1" l="1"/>
  <c r="K131" i="1"/>
  <c r="I131" i="1"/>
  <c r="J107" i="1" l="1"/>
  <c r="K107" i="1"/>
  <c r="I107" i="1"/>
  <c r="K66" i="1"/>
  <c r="J48" i="1"/>
  <c r="K48" i="1"/>
  <c r="I48" i="1"/>
  <c r="K271" i="1" l="1"/>
  <c r="K86" i="1" l="1"/>
  <c r="J86" i="1" l="1"/>
  <c r="I86" i="1"/>
  <c r="J117" i="1" l="1"/>
  <c r="K117" i="1"/>
  <c r="J121" i="1"/>
  <c r="K121" i="1"/>
  <c r="J156" i="1"/>
  <c r="K156" i="1"/>
  <c r="J173" i="1"/>
  <c r="K173" i="1"/>
  <c r="J181" i="1"/>
  <c r="K181" i="1"/>
  <c r="K193" i="1"/>
  <c r="J193" i="1"/>
  <c r="J204" i="1"/>
  <c r="K204" i="1"/>
  <c r="J221" i="1"/>
  <c r="K221" i="1"/>
  <c r="J243" i="1"/>
  <c r="K243" i="1"/>
  <c r="J261" i="1"/>
  <c r="K261" i="1"/>
  <c r="J256" i="1"/>
  <c r="K256" i="1"/>
  <c r="J269" i="1"/>
  <c r="K269" i="1"/>
  <c r="J271" i="1"/>
  <c r="J279" i="1"/>
  <c r="K279" i="1"/>
  <c r="J284" i="1"/>
  <c r="K284" i="1"/>
  <c r="J289" i="1"/>
  <c r="K289" i="1"/>
  <c r="J82" i="1"/>
  <c r="K82" i="1"/>
  <c r="J76" i="1"/>
  <c r="K76" i="1"/>
  <c r="J72" i="1"/>
  <c r="K72" i="1"/>
  <c r="J66" i="1"/>
  <c r="J62" i="1"/>
  <c r="K62" i="1"/>
  <c r="J56" i="1"/>
  <c r="K56" i="1"/>
  <c r="J37" i="1"/>
  <c r="K37" i="1"/>
  <c r="J31" i="1"/>
  <c r="K31" i="1"/>
  <c r="J27" i="1"/>
  <c r="K27" i="1"/>
  <c r="J23" i="1"/>
  <c r="K23" i="1"/>
  <c r="J11" i="1"/>
  <c r="K11" i="1"/>
  <c r="I303" i="1"/>
  <c r="I295" i="1"/>
  <c r="I294" i="1" s="1"/>
  <c r="I290" i="1"/>
  <c r="I289" i="1"/>
  <c r="I285" i="1"/>
  <c r="I284" i="1"/>
  <c r="I280" i="1"/>
  <c r="I279" i="1"/>
  <c r="I272" i="1"/>
  <c r="I271" i="1"/>
  <c r="I270" i="1"/>
  <c r="I269" i="1" s="1"/>
  <c r="I263" i="1"/>
  <c r="I261" i="1" s="1"/>
  <c r="I262" i="1"/>
  <c r="I256" i="1"/>
  <c r="I249" i="1"/>
  <c r="I245" i="1"/>
  <c r="I244" i="1"/>
  <c r="I243" i="1" s="1"/>
  <c r="I238" i="1"/>
  <c r="I234" i="1"/>
  <c r="I228" i="1"/>
  <c r="I223" i="1"/>
  <c r="I222" i="1"/>
  <c r="I216" i="1"/>
  <c r="I210" i="1"/>
  <c r="I197" i="1"/>
  <c r="I196" i="1"/>
  <c r="I195" i="1"/>
  <c r="I193" i="1" s="1"/>
  <c r="I188" i="1"/>
  <c r="I183" i="1"/>
  <c r="I182" i="1"/>
  <c r="I181" i="1"/>
  <c r="I177" i="1"/>
  <c r="I176" i="1"/>
  <c r="I175" i="1"/>
  <c r="I174" i="1"/>
  <c r="I173" i="1" s="1"/>
  <c r="I163" i="1"/>
  <c r="I158" i="1"/>
  <c r="I157" i="1"/>
  <c r="I156" i="1" s="1"/>
  <c r="I145" i="1"/>
  <c r="I141" i="1"/>
  <c r="I138" i="1"/>
  <c r="I132" i="1"/>
  <c r="I128" i="1"/>
  <c r="I122" i="1"/>
  <c r="I121" i="1" s="1"/>
  <c r="I119" i="1"/>
  <c r="I118" i="1"/>
  <c r="I112" i="1"/>
  <c r="I108" i="1"/>
  <c r="I104" i="1"/>
  <c r="I98" i="1"/>
  <c r="I93" i="1"/>
  <c r="I83" i="1"/>
  <c r="I82" i="1" s="1"/>
  <c r="I78" i="1"/>
  <c r="I76" i="1" s="1"/>
  <c r="I77" i="1"/>
  <c r="I73" i="1"/>
  <c r="I72" i="1" s="1"/>
  <c r="I67" i="1"/>
  <c r="I66" i="1" s="1"/>
  <c r="I63" i="1"/>
  <c r="I62" i="1" s="1"/>
  <c r="I58" i="1"/>
  <c r="I57" i="1"/>
  <c r="I49" i="1"/>
  <c r="I44" i="1"/>
  <c r="I38" i="1"/>
  <c r="I37" i="1" s="1"/>
  <c r="I32" i="1"/>
  <c r="I31" i="1" s="1"/>
  <c r="I28" i="1"/>
  <c r="I27" i="1" s="1"/>
  <c r="I25" i="1"/>
  <c r="I24" i="1"/>
  <c r="I18" i="1"/>
  <c r="I15" i="1"/>
  <c r="I12" i="1"/>
  <c r="I11" i="1" s="1"/>
  <c r="J168" i="1" l="1"/>
  <c r="I221" i="1"/>
  <c r="I254" i="1" s="1"/>
  <c r="K54" i="1"/>
  <c r="I267" i="1"/>
  <c r="J54" i="1"/>
  <c r="I23" i="1"/>
  <c r="I54" i="1" s="1"/>
  <c r="I56" i="1"/>
  <c r="I117" i="1"/>
  <c r="K168" i="1"/>
  <c r="K202" i="1"/>
  <c r="J202" i="1"/>
  <c r="K254" i="1"/>
  <c r="J254" i="1"/>
  <c r="K267" i="1"/>
  <c r="J267" i="1"/>
  <c r="I307" i="1"/>
  <c r="K307" i="1"/>
  <c r="J307" i="1"/>
  <c r="I202" i="1"/>
  <c r="J308" i="1" l="1"/>
  <c r="K308" i="1"/>
  <c r="I168" i="1"/>
  <c r="I308" i="1" s="1"/>
</calcChain>
</file>

<file path=xl/sharedStrings.xml><?xml version="1.0" encoding="utf-8"?>
<sst xmlns="http://schemas.openxmlformats.org/spreadsheetml/2006/main" count="1339" uniqueCount="372">
  <si>
    <t>№</t>
  </si>
  <si>
    <t>Наименование ВЦП, основного мероприятия, контрольного события программы</t>
  </si>
  <si>
    <t>*</t>
  </si>
  <si>
    <t xml:space="preserve">Ответственный исполнитель ОИВ (Ф.И.О., должность) 
</t>
  </si>
  <si>
    <t>Факт начала реализации мероприятия</t>
  </si>
  <si>
    <t>Факт окончания реализации мероприятия, наступления контрольного события</t>
  </si>
  <si>
    <t>Расходы республиканского бюджета Республики Коми на реализацию государственной программы, тыс.руб.</t>
  </si>
  <si>
    <t>Приложение</t>
  </si>
  <si>
    <t>"1",  "*" Отмечаются только контрольные события, входящие в форму мониторинга реализации государственной программы, формируемую Министерством экономического развития Республики Коми</t>
  </si>
  <si>
    <t>Статус контрольного события "1"</t>
  </si>
  <si>
    <t>Срок начала реализации мероприятия</t>
  </si>
  <si>
    <t>Срок окончания реализации (дата контрольного события)</t>
  </si>
  <si>
    <t>кассовое исполнение на отчетную дату "3"</t>
  </si>
  <si>
    <t>Заключено контрактов на отчетную дату, тыс. руб. "3"</t>
  </si>
  <si>
    <t>"3" Под отчетной датой понимается первое число месяца, следующего за отчетным периодом</t>
  </si>
  <si>
    <t>"2" Согласно сводной бюджетной росписи республиканского бюджета Республики Коми на отчетную дату</t>
  </si>
  <si>
    <t xml:space="preserve">Подпрограмма 1 "Институты информационного общества" </t>
  </si>
  <si>
    <t>Основное мероприятие 1.01.01. Пропаганда и популяризация возможностей информационного общества и информационных технологий</t>
  </si>
  <si>
    <t>1.01.01.01 Подготовка методических материалов и курсов для информирования населения</t>
  </si>
  <si>
    <t>1.01.01.02 Разработка и тиражирование наглядных материалов, текстовых и графических материалов, сувенирной продукции</t>
  </si>
  <si>
    <t>1.01.01.03 Подготовка и размещение информации в СМИ (печатные СМИ, электронные СМИ и интернет, радио и телевидение)</t>
  </si>
  <si>
    <t>1.01.01.04 Проведение открытых лекций, семинаров, участие в массовых мероприятиях</t>
  </si>
  <si>
    <t xml:space="preserve">Контрольное событие программы № 1 Проведено не менее 4 мероприятий в виде открытых лекций, семинаров по тематике информационного общества и информационных технологий
</t>
  </si>
  <si>
    <t>Основное мероприятие 1.01.02.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</si>
  <si>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1.01.02.01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</si>
  <si>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1.01.02.02. Оказание методической помощи (консультаций) по наполнению сетевых ресурсов</t>
  </si>
  <si>
    <t xml:space="preserve">Контрольное событие программы № 2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2014 год заключен. </t>
  </si>
  <si>
    <t>Контрольное событие программы № 3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2015 год заключен.</t>
  </si>
  <si>
    <t>Контрольное событие программы № 4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 на 2016 год заключен.</t>
  </si>
  <si>
    <t>Основное мероприятие 1.01.03. Содействие использованию населением Республики Коми инструментов информационных технологий</t>
  </si>
  <si>
    <t>1.01.03.01 Организационные мероприятия по обеспечению деятельности волонтерских центров (организационные расходы)</t>
  </si>
  <si>
    <t xml:space="preserve">1.01.03.02 Организация обучающих мероприятий, в том числе курсов повышения квалификации </t>
  </si>
  <si>
    <t xml:space="preserve">Контрольное событие программы № 5 Обучено не менее 2000 человек основам использования информационно-коммуникационных технологий
</t>
  </si>
  <si>
    <t>Основное мероприятие 1.01.04. Совершенствование механизмов обеспечения права граждан, организаций и общественных объединений на обращение в государственные органы Республики Коми и органы местного самоуправления в Республике Коми</t>
  </si>
  <si>
    <t>1.01.04.01 Организация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</si>
  <si>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>1.01.04.02. Методологическое обеспечение организации мониторинга доступности механизмов обращения граждан в органы власти и местного самоуправления и доступности информации о деятельности органов власти и местного самоуправления, проведение тематических социальных опросов</t>
  </si>
  <si>
    <t>Контрольное событие программы № 6 Мониторинг уровня удовлетворенности получателей государственных и муниципальных услуг качеством оказания государственных и муниципальных услуг проведен</t>
  </si>
  <si>
    <t>Основное мероприятие 1.02.01. Формирование информационно технологического сообщества как группы организаций, обеспечивающих весь цикл внедрения и эксплуатации информационно - коммуникационных технологий</t>
  </si>
  <si>
    <t>1.02.01.01 Формирование организационных структур ИКТ-кластера</t>
  </si>
  <si>
    <t>1.02.01.02. Разработка методических рекомендаций по формированию инфраструктуры ИКТ-кластера</t>
  </si>
  <si>
    <t>Контрольное событие программы № 7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</si>
  <si>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8 Организовано не менее 2-х совместных учебно-практических лабораторий с высшими образовательными учреждениями Республики Коми</t>
  </si>
  <si>
    <t>Контрольное событие программы № 9 Организовано не менее 2-х совместных учебно-практических лабораторий с высшими образовательными учреждениями Республики Коми</t>
  </si>
  <si>
    <t>Основное мероприятие 1.02.02. Содействие развитию общественных организаций, действующих в области информационно - коммуникационных технологий</t>
  </si>
  <si>
    <t>1.02.02.01 Предоставление грантов в сфере ИКТ</t>
  </si>
  <si>
    <t>1.02.02.02. Разработка документации, регламентирующей порядок предоставления грантов в сфере ИКТ</t>
  </si>
  <si>
    <t xml:space="preserve">Контрольное событие программы №10 Утвержден порядок конкурсного отбора заявок на гранты в сфере ИКТ
</t>
  </si>
  <si>
    <t xml:space="preserve">Контрольное событие программы №11 Предоставлено не менее 5 грантов в сфере ИКТ </t>
  </si>
  <si>
    <t>Контрольное событие программы №12 Предоставлено не менее 5 грантов в сфере ИКТ в год</t>
  </si>
  <si>
    <t>Основное мероприятие 1.03.01. Проведение прикладных научно-исследовательских работ в области перспективного развития информационно-телекоммуникационных технологий</t>
  </si>
  <si>
    <t>1.03.01.01 НИОКР "Моделирование социально-экономического развития территорий"</t>
  </si>
  <si>
    <t>1.03.01.02 НИОКР "Исследование и анализ сложных (комплексных) сетей"</t>
  </si>
  <si>
    <t xml:space="preserve">Контрольное событие программы № 13 Выполнено не менее 5 прикладных научно - исследовательских работ в сфере ИКТ </t>
  </si>
  <si>
    <t xml:space="preserve">Контрольное событие программы № 14 Выполнено не менее 3 прикладных научно - исследовательских работ в сфере ИКТ 
</t>
  </si>
  <si>
    <t>Основное мероприятие 1.03.02. Организация научно-практических конференций, семинаров, мастер классов и иных мероприятий в области ИКТ</t>
  </si>
  <si>
    <t>1.03.02.01 Организация и (или) участие в региональных, межрегиональных, российских и международных мероприятиях в области ИКТ</t>
  </si>
  <si>
    <t>1.03.02.02. Подготовка и предоставление материалов для участия в региональных, межрегиональных, российских и международных мероприятиях в области ИКТ</t>
  </si>
  <si>
    <t xml:space="preserve">Контрольное событие программы № 15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</si>
  <si>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16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</si>
  <si>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 xml:space="preserve">Контрольное событие программы № 17 Проведено не менее 2-х научно- практических конференций, семинаров, мастер-классов и иных мероприятий в области информационно-коммуникационных технологий 
</t>
  </si>
  <si>
    <t>Итого по мероприятиям подпрограммы 1:</t>
  </si>
  <si>
    <t xml:space="preserve">Подпрограмма 2 "Электронное правительство" </t>
  </si>
  <si>
    <t>Основное мероприятие 2.01.01. Внедрение и развитие специализированных ведомственных и межведомственных информационных систем в государственном и муниципальном управлении</t>
  </si>
  <si>
    <t xml:space="preserve">2.01.01.01 Разработка автоматизированной системы по комплексной автоматизации государственного учреждения (далее - ИС КАГУ) </t>
  </si>
  <si>
    <t xml:space="preserve">2.01.01.02 Внедрение и развитие прочих специализированных ведомственных и межведомственных информационных систем ОГВ Республики Коми, ОМСУ в Республике Коми и подведомственных учреждений </t>
  </si>
  <si>
    <t xml:space="preserve">Контрольное событие программы № 18 В постоянную эксплуатацию ИС КАГУ внедрено в 5 органах исполнительной власти Республики Коми (1 очередь) </t>
  </si>
  <si>
    <t>Контрольное событие программы № 19 ИС КАГУ внедрено в промышленную эксплуатацию на объектах 2 очереди</t>
  </si>
  <si>
    <t>Контрольное событие программы № 20 ИС КАГУ внедрено в промышленную эксплуатацию на объектах 3 очереди</t>
  </si>
  <si>
    <t>Основное мероприятие 2.01.02. Внедрение информационно - коммуникационных технологий в образовании и науке</t>
  </si>
  <si>
    <t>2.01.02.01 Реализация мероприятий в сфере информатизации образования в Республике Коми</t>
  </si>
  <si>
    <t>2.01.02.02. Методологическое сопровождение проектов по информатизации в сфере образования Республики Коми</t>
  </si>
  <si>
    <t>Контрольное событие программы № 21 Государственная информационная система "Электронное образование" внедрена в образовательных учреждениях Республики Коми в соответствии с планом внедрения</t>
  </si>
  <si>
    <t>Основное мероприятие 2.01.03. Внедрение информационно-коммуникационных технологий в здравоохранении и социальной защите населения</t>
  </si>
  <si>
    <t>2.01.03.01 Реализация мероприятий в соответствии с Концепцией информатизации здравоохранения Республики Коми</t>
  </si>
  <si>
    <t>2.01.03.02. Методологическое сопровождение проектов по информатизации в сфере здравоохранения в Республике Коми</t>
  </si>
  <si>
    <t>Контрольное событие программы № 22 Выполнено 100% мероприятий от общего объема в соответствии с планом</t>
  </si>
  <si>
    <t>Контрольное событие программы № 23 Выполнено 100% мероприятий от общего объема в соответствии с планом</t>
  </si>
  <si>
    <t>Контрольное событие программы № 24 Информационная системы "Удаленный мониторинг показателей здоровья" внедрена в промышленную эксплуатацию</t>
  </si>
  <si>
    <t>Основное мероприятие 2.01.05. Внедрение информационно-коммуникационных технологий в управлении финансами</t>
  </si>
  <si>
    <t>2.01.05.01 Внедрение информационно-коммуникационных технологий в сфере управления финансами</t>
  </si>
  <si>
    <t>2.01.05.02. Методологическое сопровождение проектов по информатизации в сфере управления финансами в Республике Коми</t>
  </si>
  <si>
    <t>Контрольное событие программы № 25 Cистема "Открытый бюджет" внедрена</t>
  </si>
  <si>
    <t>Основное мероприятие 2.01.06. Внедрение и развитие информационно-коммуникационных технологий в земельно-имущественных отношениях</t>
  </si>
  <si>
    <t>2.01.06.01 Развитие автоматизированной системы учета и управления объектами государственной собственности Республики Коми и муниципальной собственности, управление лесным фондом, объектами культуры, спорта и т.п.</t>
  </si>
  <si>
    <t xml:space="preserve">2.01.06.02 Внедрение единой информационной системы для ОМСУ "Похозяйственная книга" </t>
  </si>
  <si>
    <t>Контрольное событие программы № 26 Система учета и управления объектами государственной собственности Республики Коми и муниципальной собственности введена в промышленную эксплуатацию</t>
  </si>
  <si>
    <t>Контрольное событие программы № 27 Единая информационная система "Похозяйственная книга" внедрена в промышленную эксплуатацию в органах местного самоуправления в Республике Коми в соответствии с планом внедрения</t>
  </si>
  <si>
    <t>Контрольное событие программы № 28 Обеспечен процесс сплошной инвентаризации в АСУС</t>
  </si>
  <si>
    <t>Основное мероприятие 2.01.07. Внедрение информационно-коммуникационных технологий в управлении жилищно-коммунальным хозяйством</t>
  </si>
  <si>
    <t>2.01.07.01 Внедрение автоматизированной системы поддержки принятия решений в сфере государственного и муниципального управления жилищно-коммунальным комплексом Республики Коми</t>
  </si>
  <si>
    <t>2.01.07.02. Методологическое сопровождение проектов по информатизации в сфере управления жилищно-коммунальным хозяйством в Республике Коми</t>
  </si>
  <si>
    <t>Контрольное событие программы № 29 Информационная система управления энергосбережением в Республике Коми внедрена в бюджетном секторе Республики Коми</t>
  </si>
  <si>
    <t>Основное мероприятие 2.01.10. Внедрение информационно-коммуникационных технологий в управлении природными ресурсами</t>
  </si>
  <si>
    <t>2.01.10.01 Внедрение информационно-коммуникационных технологий в управлении природными ресурсами (прогноз погоды)</t>
  </si>
  <si>
    <t>2.01.10.02. Своевременное предупреждение об опасных гидрометеорологических явлениях на территории Республики Коми</t>
  </si>
  <si>
    <t>Контрольное событие программы № 30 Заключен государственный контракт на выполнение работ на 2014 год</t>
  </si>
  <si>
    <t>Контрольное событие программы № 31 Заключен государственный контракт на выполнение работ на 2015 год</t>
  </si>
  <si>
    <t>Контрольное событие программы № 32 Заключен государственный контракт на выполнение работ на 2016 год</t>
  </si>
  <si>
    <t>Основное мероприятие 2.01.14.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</t>
  </si>
  <si>
    <t>2.01.14.01 Внедрение портальных и облачных технологий для реализации задач в ведомственных и межведомственных информационных системах ОГВ Республики Коми, ОМСУ в Республике Коми и подведомственных учреждений</t>
  </si>
  <si>
    <t xml:space="preserve">2.01.14.02.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</t>
  </si>
  <si>
    <t xml:space="preserve">Контрольное событие программы № 34 Разработаны сайты ОИВ и их подведомственных учреждений на основе единой платформы в соответствии с планом
</t>
  </si>
  <si>
    <t xml:space="preserve">Контрольное событие программы № 35 Разработаны сайты ОИВ и их подведомственных учреждений на основе единой платформы в соответствии с планом
</t>
  </si>
  <si>
    <t>Основное мероприятие 2.01.15. Обеспечение функционирования системы коллективной разработки, согласования и утверждения документов</t>
  </si>
  <si>
    <t>2.01.15.01 Развитие системы межведомственного электронного документооборота (далее - СЭД), доработка и тиражирование СЭД в государственных учреждениях Республики Коми</t>
  </si>
  <si>
    <t>2.01.15.02. Организация бесперебойного функционирования системы межведомственного электронного документооборота (далее - СЭД)</t>
  </si>
  <si>
    <t xml:space="preserve">Контрольное событие программы №36 СЭД интегрирован с системой межведомственного электронного документооборота Российской Федерации 
</t>
  </si>
  <si>
    <r>
      <t xml:space="preserve">Контрольное событие программы №37 СЭД тиражирован на 100% объектов в соответствии с планом
</t>
    </r>
    <r>
      <rPr>
        <i/>
        <sz val="26"/>
        <color rgb="FFFF0000"/>
        <rFont val="Times New Roman"/>
        <family val="1"/>
        <charset val="204"/>
      </rPr>
      <t/>
    </r>
  </si>
  <si>
    <t xml:space="preserve">Контрольное событие программы №38 СЭД тиражирован на 100 % объектов в соответствии с планом 
</t>
  </si>
  <si>
    <t>Основное мероприятие 2.01.16. Перевод архивов в электронный вид</t>
  </si>
  <si>
    <t xml:space="preserve">2.01.16.01. Перевод архивов в электронный вид 
</t>
  </si>
  <si>
    <t>2.01.16.02.Методологическое обеспечение процесса перевода архивов в электронный вид</t>
  </si>
  <si>
    <t xml:space="preserve">Контрольное событие программы №39 Введены в эксплуатацию 2 (два) дополнительных комплекса планетарного сканирования А2 
</t>
  </si>
  <si>
    <t>Основное мероприятие 2.02.01. Развитие региональной комплексной информационной системы предоставления государственных услуг "Госуслуги – Республика Коми"</t>
  </si>
  <si>
    <t>2.02.01.01 Модернизация РКИС ГУ РК в части обеспечения соответствия изменениям, вносимым в федеральное законодательство и соответствующие нормативные и методологические документы</t>
  </si>
  <si>
    <t xml:space="preserve">2.02.01.02.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</t>
  </si>
  <si>
    <t>Контрольное событие программы № 40 Региональная комплексная информационная система предоставления государственных услуг "Госуслуги – Республика Коми" модернизирована</t>
  </si>
  <si>
    <t>Основное мероприятие 2.02.02. Методологическое и организационное обеспечение перевода услуг в электронный вид и организации межведомственного взаимодействия</t>
  </si>
  <si>
    <t>2.02.02.01 Методологическое и организационное обеспечение перевода услуг в электронный вид и организации межведомственного взаимодействия</t>
  </si>
  <si>
    <t xml:space="preserve">2.02.02.02.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</t>
  </si>
  <si>
    <t xml:space="preserve">Контрольное событие программы № 41 Выполнены экспертизы по не менее 100 проектам административных регламентов и проектам о внесении изменений в административные регламенты </t>
  </si>
  <si>
    <t xml:space="preserve">Контрольное событие программы № 42 Выполнены экспертизы по не менее 150 паспортам государственных и муниципальных услуг, размещенных в государственной информационной системе Республики Коми "Реестр государственных и муниципальных услуг (функций) Республики Коми" </t>
  </si>
  <si>
    <t>Контрольное событие программы № 43 Выполнены не менее 25 проверок технологических карт межведомственного взаимодействия</t>
  </si>
  <si>
    <t>Основное мероприятие 2.02.03. Организация технологического перевода в электронный вид процессов предоставления государственных и муниципальных услуг, развитие регионального сегмента инфраструктуры электронного правительства</t>
  </si>
  <si>
    <t>2.02.03.01 Организация технологического перевода в электронный вид процессов предоставления государственных и муниципальных услуг в Республике Коми</t>
  </si>
  <si>
    <t xml:space="preserve">2.02.03.02 Разработка электронных сервисов с целью подключения государственных органов Республики Коми, органов местного самоуправления в Республике Коми </t>
  </si>
  <si>
    <t>Контрольное событие программы № 44 100 подуслуг и 57 электронных сервисов/методов введены в опытно-промышленную эксплуатацию</t>
  </si>
  <si>
    <t>Основное мероприятие 2.02.05. Развитие сети многофункциональных центров предоставления государственных и муниципальных услуг в Республике Коми</t>
  </si>
  <si>
    <t xml:space="preserve">2.02.05.01. Развитие сети многофункциональных центров предоставления государственных и муниципальных услуг в Республике Коми 
</t>
  </si>
  <si>
    <t>2.02.05.02 Создание и развитие сети многофункциональных центров и привлеченных организаций, обеспечивающих предоставление государственных и муниципальных услуг</t>
  </si>
  <si>
    <t xml:space="preserve">Контрольное событие программы № 45 Открыты 11(одиннадцать) МФЦ в течение 2014 года </t>
  </si>
  <si>
    <t xml:space="preserve">Контрольное событие программы № 46 Открыты 3 (три) МФЦ в течение 2015 года </t>
  </si>
  <si>
    <t xml:space="preserve">Контрольное событие программы № 47 Оказано не менее 500 000 услуг на базе МФЦ в Республике Коми 
</t>
  </si>
  <si>
    <t>Основное мероприятие 2.02.06. Обеспечение доступа к государственным и муниципальным услугам с использованием универсальной электронной карты</t>
  </si>
  <si>
    <t>2.02.06.01 Обеспечение доступа к государственным услугам Республики Коми с использованием универсальной электронной карты</t>
  </si>
  <si>
    <t>2.02.06.02. Консультирование по вопросам получения государственных и муниципальных услуг с помощью универсальной электронной карты, в том числе в Многофункциональных центрах предоставления государственных и муниципальных услуг в Республике Коми</t>
  </si>
  <si>
    <t>Контрольное событие программы № 48 15 000 универсальных электронных карт выданы гражданам Республики Коми</t>
  </si>
  <si>
    <t>Основное мероприятие 2.02.07. Развитие и организация функционирования центра телефонного обслуживания</t>
  </si>
  <si>
    <t xml:space="preserve">2.02.07.01. Развитие и организация функционирования центра телефонного обслуживания </t>
  </si>
  <si>
    <t>Контрольное событие программы № 49 Принято не менее 50 тыс. обращений в год в ЦТО</t>
  </si>
  <si>
    <t>Контрольное событие программы № 50 Принято не менее 60 тыс. обращений в год в ЦТО</t>
  </si>
  <si>
    <t>Контрольное событие программы № 51 Принято не менее 65 тыс. обращений в год в ЦТО</t>
  </si>
  <si>
    <t>Основное мероприятие 2.03.01. Развитие системы обеспечения вызова экстренных оперативных служб через единый номер "112"</t>
  </si>
  <si>
    <t>2.03.01.02. Организационно-методологическое сопровождение внедрения системы обеспечения вызова экстренных оперативных служб через единый номер "112"</t>
  </si>
  <si>
    <t>Основное мероприятие 2.03.02. Создание основного и резервного центров обработки вызовов: техническое перевооружение, строительство, реконструкция зданий и их оснащение</t>
  </si>
  <si>
    <t xml:space="preserve">2.03.02.01. Реконструкция помещений резервного центра обработки вызовов, расположенных по адресу: г. Ухта, ул. Бушуева, д. 10, их техническое перевооружение и оснащение
</t>
  </si>
  <si>
    <t xml:space="preserve">2.03.02.02. Проектное сопровождение мероприятий по реконструкции помещений резервного центра обработки вызовов, расположенных по адресу: г. Ухта, ул. Бушуева, д.10 </t>
  </si>
  <si>
    <t>Контрольное событие программы № 53 Завершена реконструкция помещений резервного центра обработки вызовов, расположенных по адресу: г. Ухта, ул. Бушуева, д. 10, их техническое перевооружение и оснащение</t>
  </si>
  <si>
    <t>Основное мероприятие 2.03.04.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</si>
  <si>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 xml:space="preserve">2.03.04.01 Развитие и сопровождение информационно - аналитической системы прогнозирования, мониторинга лесопожарной обстановки и ликвидации лесных пожаров в Республике Коми
</t>
  </si>
  <si>
    <t>2.03.04.02.Обеспечение функционирования информационно - аналитической системы прогнозирования, мониторинга лесопожарной обстановки и ликвидации лесных пожаров в Республике Коми</t>
  </si>
  <si>
    <t>Контрольное событие программы № 54 Мобильное приложения ИАС "Лесные пожары в РК" разработано</t>
  </si>
  <si>
    <t>Контрольное событие программы № 55 Выполнено 100% мероприятий по развитию ИАС "Лесные пожары в РК" соответствии с планом</t>
  </si>
  <si>
    <t>Контрольное событие программы № 56 Выполнено 100% мероприятий по развитию ИАС "Лесные пожары в РК" соответствии с планом</t>
  </si>
  <si>
    <t>Основное мероприятие 2.04.01.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</si>
  <si>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 xml:space="preserve">2.04.01.01. Методологическое и технологическое обеспечение процессов сбора, актуализации и обработки данных в рамках обеспечения деятельности информационно-аналитических систем и систем, обеспечивающих подготовку и принятие решений в государственном и муниципальном управлении
</t>
  </si>
  <si>
    <t>2.04.01.02. Обеспечение функционирования информационно-аналитических систем и систем, обеспечивающих подготовку и принятие решений в государственном и муниципальном управлении</t>
  </si>
  <si>
    <t>Контрольное событие программы № 57 Государственная автоматизированная система "Управление" внедрена на объектах первой очереди</t>
  </si>
  <si>
    <t>Контрольное событие программы № 58 Государственная автоматизированная система "Управление" внедрена на объектах второй очереди</t>
  </si>
  <si>
    <t xml:space="preserve">Контрольное событие программы № 59 Государственная автоматизированной система "Управление" внедрена в 100% государственных органов Республики Коми и органов местного самоуправления в Республике Коми для принятия управленческих решений
</t>
  </si>
  <si>
    <t>Основное мероприятие 2.04.02. Формирование отраслевых, управленческих, социальных и иных информационно - аналитических ресурсов в государственном и муниципальном управлении</t>
  </si>
  <si>
    <t>2.04.02.01. Развитие Единой информационно-аналитической системы Республики Коми</t>
  </si>
  <si>
    <t>2.04.02.02.Внедрение и развитие специализированной системы информационной поддержки руководящего состава Республики Коми "Рабочее место Главы"</t>
  </si>
  <si>
    <t>Контрольное событие программы № 60 Зарегистрировано не менее 500 пользователей Единой информационно-аналитической системы Республики Коми на конец 2014 года</t>
  </si>
  <si>
    <t>Контрольное событие программы № 61 Зарегистрировано не менее 550 пользователей Единой информационно-аналитической системы Республики Коми на 30.06.2015 года</t>
  </si>
  <si>
    <t>Контрольное событие программы № 62 Зарегистрировано не менее 600 пользователей Единой информационно-аналитической системы Республики Коми на 30.06.2016 г.</t>
  </si>
  <si>
    <t>Основное мероприятие 2.04.04. Внедрение информационно-поисковых сервисов</t>
  </si>
  <si>
    <t>2.04.04.01. Развитие информационно-аналитической системы "Семантический архив"</t>
  </si>
  <si>
    <t>2.04.04.02. Сбор, накопление и систематизация аналитических материалов по запросам органов государственной власти Республики Коми и муниципальных образований в Республике Коми</t>
  </si>
  <si>
    <t>Контрольное событие программы № 63 Выпущено не менее 3 тематических дайджестов по актуальным тематикам ежегодно</t>
  </si>
  <si>
    <t>Контрольное событие программы № 64 Выпущено не менее 3 тематических дайджестов по актуальным тематикам ежегодно</t>
  </si>
  <si>
    <t>Контрольное событие программы № 65 Выпущено не менее 3 тематических дайджестов по актуальным тематикам ежегодно</t>
  </si>
  <si>
    <t>Итого по мероприятиям подпрограммы 2:</t>
  </si>
  <si>
    <t>Подпрограмма 3 "Развитие инфраструктуры информационно-коммуникационных технологий и систем связи</t>
  </si>
  <si>
    <t>Основное мероприятие 3.02.01. Обеспечение перехода на цифровое эфирное телевещание</t>
  </si>
  <si>
    <t>3.02.01.01 Создание благоприятных условий для социально - незащищенных категорий населения при переходе на цифровое телевидение</t>
  </si>
  <si>
    <t>3.02.01.02. Методологическое обеспечение создания благоприятных условий для социально - незащищенных категорий населения при переходе на цифровое телевидение</t>
  </si>
  <si>
    <t>Основное мероприятие 3.04.01. Обеспечение доступности телекоммуникационной инфраструктуры электронного правительства в Республике Коми</t>
  </si>
  <si>
    <t>3.04.01.04. Развитие производительной, отказоустойчивой и защищенной сети с использованием беспроводного широкополосного доступа (БШПД)</t>
  </si>
  <si>
    <t>3.04.01.05. Расширение доступа к сети передачи данных ОИВ РК и подведомственных учреждений</t>
  </si>
  <si>
    <t>3.04.01.06. Построение и модернизация локальных вычислительных сетей в ОГВ, ОМСУ и подведомственных учреждениях</t>
  </si>
  <si>
    <t>Контрольное событие программы № 67 Установлено оборудование для построения СКС, общим количеством не менее 1000 портов в год</t>
  </si>
  <si>
    <t>Контрольное событие программы № 68 Установлено оборудование для построения СКС, общим количеством не менее 1000 портов в год</t>
  </si>
  <si>
    <t>Контрольное событие программы № 69 Установлено оборудование для построения СКС, общим количеством не менее 1000 портов в год</t>
  </si>
  <si>
    <t>Основное мероприятие 3.04.02. Обеспечение соответствия вычислительных мощностей инфраструктуры электронного правительства в Республике Коми текущим потребностям</t>
  </si>
  <si>
    <t xml:space="preserve">3.04.02.01 Обеспечение соответствия вычислительных мощностей инфраструктуры электронного правительства в Республике Коми текущим потребностям
</t>
  </si>
  <si>
    <t>3.04.02.02. Создание резервного ЦОДа в г. Ухта</t>
  </si>
  <si>
    <t xml:space="preserve">Контрольное событие программы № 70 Завершено строительство ЦОДа в г. Ухта </t>
  </si>
  <si>
    <t>Контрольное событие программы № 71 Выполнено 100% запланированных мероприятий от общего объема в соответствии с планом</t>
  </si>
  <si>
    <t>Контрольное событие программы № 72 Выполнено 100% запланированных мероприятий от общего объема в соответствии с планом</t>
  </si>
  <si>
    <t>Основное мероприятие 3.04.03. Обеспечение соответствия технических элементов инфраструктуры электронного правительства в Республике Коми текущим потребностям</t>
  </si>
  <si>
    <t xml:space="preserve">3.04.03.01 Обеспечение соответствия технических элементов инфраструктуры электронного правительства в Республике Коми текущим потребностям
</t>
  </si>
  <si>
    <t>3.04.03.02. Проведение экспертиз компьютерной техники, оргтехники в органах государственной власти Республики Коми и их подведомственных учреждениях</t>
  </si>
  <si>
    <t>Контрольное событие программы № 73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</si>
  <si>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Контрольное событие программы № 74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</si>
  <si>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Контрольное событие программы № 75 Автоматизировано и модернизировано не менее 250 рабочих мест в год в органах государственной власти Республики Коми и их подведомственных учреждениях</t>
  </si>
  <si>
    <t>Основное мероприятие 3.04.05. Обеспечение функционирования информационно-коммуникационных технологий путем проведения закупок товаров, работ и услуг</t>
  </si>
  <si>
    <t>3.04.05.01. Приобретение средств вычислительной техники, копировально - множительной техники и иной оргтехники для УФСКН в рамках региональной программы "Обеспечение правопорядка и безопасности граждан в 2014 году"</t>
  </si>
  <si>
    <t>3.04.05.02. Приобретение средств вычислительной техники, копировально - множительной техники и иной оргтехники для организации работы с лицами, осужденными к наказаниям без изоляции от общества в рамках региональной программы "Обеспечение правопорядка и безопасности граждан в 2014 году"</t>
  </si>
  <si>
    <t>3.04.05.03. Приобретение для Министерства внутренних дел по Республике Коми и установка специального оборудования сегментов аппаратно-программного комплекса "Безопасный город" в рамках региональной программы "Обеспечение правопорядка и безопасности граждан в 2014 году"</t>
  </si>
  <si>
    <t>3.04.05.04. Обеспечение закупки товаров, работ, услуг в сфере информационно-коммуникационных технологий для государственных органов Республики Коми, органов исполнительной власти Республики Коми, подведомственным им учреждениям</t>
  </si>
  <si>
    <t>3.04.05.05. Приобретение аппаратно - программного комплекса радиосвязи типа "MOTOTURBO" в рамках региональной программы "Обеспечение правопорядка и безопасности граждан в 2014 году"</t>
  </si>
  <si>
    <t>Контрольное событие программы № 76 Организована закупка товаров, работ, услуг в соответствии с планом</t>
  </si>
  <si>
    <t>Контрольное событие программы № 77 Организована закупка товаров, работ, услуг в соответствии с планом</t>
  </si>
  <si>
    <t>Контрольное событие программы № 78 Информационно-коммуникационная сеть системы "Безопасный город" создана на базе ГАУ РК "ЦИТ"</t>
  </si>
  <si>
    <t>Итого по мероприятиям подпрограммы 3:</t>
  </si>
  <si>
    <t xml:space="preserve">Подпрограмма 4 "Безопасность в информационном обществе" </t>
  </si>
  <si>
    <t>Основное мероприятие 4.01.01. Развитие республиканской инфраструктуры удостоверения ключей проверки электронной подписи (инфраструктура цифрового доверия), обеспечивающей идентификацию субъектов информационного взаимодействия и целостность содержания электронного документа</t>
  </si>
  <si>
    <t xml:space="preserve">4.01.01.01 Развитие республиканской инфраструктуры удостоверения ключей проверки электронной подписи </t>
  </si>
  <si>
    <t>4.01.01.02. Консультационная поддержка пользователей, владельцев сертификатов ключей проверки электронной подписи</t>
  </si>
  <si>
    <t>Контрольное событие программы № 79 ПАК "КриптоПРО УЦ" в расширенной конфигурации приобретен</t>
  </si>
  <si>
    <t>Контрольное событие программы № 80 ПАК "Крипто ПРО УЦ" в расширенной конфигурации приобретен</t>
  </si>
  <si>
    <t>Основное мероприятие 4.01.02. Развитие центров сертификации и регистрации удостоверяющего центра Республики Коми</t>
  </si>
  <si>
    <t xml:space="preserve">4.01.02.01. Развитие центров сертификации и регистрации удостоверяющего центра Республики Коми
</t>
  </si>
  <si>
    <t xml:space="preserve">4.01.02.02. Информационная поддержка точек </t>
  </si>
  <si>
    <t xml:space="preserve">Контрольное событие программы № 81 Выданы сертификаты ключей проверки электронной подписи на базе не менее 10 Многофункциональных центров </t>
  </si>
  <si>
    <t xml:space="preserve">Контрольное событие программы № 82 Выданы сертификаты ключей проверки электронной подписи на базе не менее 15 Многофункциональных центров </t>
  </si>
  <si>
    <t xml:space="preserve">Контрольное событие программы № 83 Выданы сертификаты ключей проверки электронной подписи на базе не менее 20 Многофункциональных центров </t>
  </si>
  <si>
    <t>Основное мероприятие 4.01.03.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информационно-коммуникационной сети "Интернет"</t>
  </si>
  <si>
    <t xml:space="preserve">4.01.03.01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информационно-коммуникационной сети "Интернет"
</t>
  </si>
  <si>
    <t>4.01.03.02. Ежедневная публикация списков отзыва сертификатов с периодичностью 12 часов</t>
  </si>
  <si>
    <t>Контрольное событие программы № 84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</si>
  <si>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85 Актуальный реестр сертификатов ключей проверки электронной подписи размещен в информационно-коммуникационной сети "Интернет"</t>
  </si>
  <si>
    <t>Контрольное событие программы № 86 Актуальный реестр сертификатов ключей проверки электронной подписи размещен в информационно-коммуникационной сети "Интернет"</t>
  </si>
  <si>
    <t>Основное мероприятие 4.02.01. Создание республиканского центра мониторинга информационной безопасности</t>
  </si>
  <si>
    <t xml:space="preserve">4.02.01.01 Создание республиканского центра мониторинга информационной безопасности
</t>
  </si>
  <si>
    <t>4.02.01.02. Создание центра мониторинга и управления безопасностью КИС с последующим расширением его функционала</t>
  </si>
  <si>
    <t>Контрольное событие программы № 87 Программный комплекс мониторинга и управления безопасностью КИС внедрен</t>
  </si>
  <si>
    <t>Контрольное событие программы № 88 Выполнено 100% мероприятий по предотвращению инцидентов информационной безопасности</t>
  </si>
  <si>
    <t>Контрольное событие программы № 89 Выполнено 100% мероприятий по предотвращению инцидентов информационной безопасности</t>
  </si>
  <si>
    <t>Основное мероприятие 4.03.01. Развитие инфраструктуры защищенной сети в государственных органах Республики Коми и подведомственных им учреждениях, в органах местного самоуправления в Республике Коми и подведомственных им государственных учреждениях</t>
  </si>
  <si>
    <t>4.03.01.01 Приобретение, разработка, внедрение и сопровождение систем защиты конфиденциальной информации в органах государственной власти Республики Коми, подведомственных им учреждениях</t>
  </si>
  <si>
    <t>4.03.01.02. Консультирование органов государственной власти Республики Коми, подведомственных им учреждений по вопросам использования средств защиты информации</t>
  </si>
  <si>
    <t>Контрольное событие программы № 90 Заключен государственный контракт на закупку не менее 750 лицензий на право пользования VIP Net Client KC2 на одном рабочем месте</t>
  </si>
  <si>
    <t>Контрольное событие программы № 91 Заключен государственный контракт на закупку не менее 750 лицензий на право пользования VIP Net Client KC2 на одном рабочем месте</t>
  </si>
  <si>
    <t>Контрольное событие программы № 92 Заключен государственный контракт на закупку не менее 750 лицензий на право пользования VIP Net Client KC2 на одном рабочем месте</t>
  </si>
  <si>
    <t>Основное мероприятие 4.03.03. Модернизация защищенной вычислительной сети</t>
  </si>
  <si>
    <t>4.03.03.01 Разработка, внедрение и сопровождение системы защиты конфиденциальной информации Центра обработки данных</t>
  </si>
  <si>
    <t>4.03.03.02. Обеспечение доступа к защищенным информационным системам в Центре обработки данных</t>
  </si>
  <si>
    <t>Контрольное событие программы № 93 Внедрен программно-аппаратный комплекс VIP Net Coordinator HW 2000</t>
  </si>
  <si>
    <t>Основное мероприятие 4.04.01. Разработка комплектов организационно-распорядительных документов по обеспечению безопасности персональных данных государственных информационных систем Республики Коми</t>
  </si>
  <si>
    <t>4.04.01.01 Разработка проектной документации в части обеспечения ИБ для вновь проектируемых ИС ЭП</t>
  </si>
  <si>
    <t>4.04.01.02. Организационно-методическое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</t>
  </si>
  <si>
    <t>Контрольное событие программы № 94 Документация для вновь проектируемых информационных систем электронного правительства разработана</t>
  </si>
  <si>
    <t>Контрольное событие программы № 95 Документация для вновь проектируемых информационных систем электронного правительства разработана</t>
  </si>
  <si>
    <t>Контрольное событие программы № 96 Документация для вновь проектируемых информационных систем электронного правительства разработана</t>
  </si>
  <si>
    <t>Основное мероприятие 4.04.02. Проведение аттестации объектов информатизации в государственных информационных системах по требованиям безопасности информации</t>
  </si>
  <si>
    <t xml:space="preserve">4.04.02.01 Проведение аттестации объектов информатизации в государственных информационных системах по требованиям безопасности информации
</t>
  </si>
  <si>
    <t>4.04.02.02. Сертификация информационных систем на соответствие требованиям государственных информационных систем</t>
  </si>
  <si>
    <t>Контрольное событие программы № 98 Аттестаты соответствия информационных систем по требованиям безопасности выданы на объекты информатизации</t>
  </si>
  <si>
    <t>Контрольное событие программы № 99 Аттестаты соответствия информационных систем по требованиям безопасности выданы на объекты информатизации</t>
  </si>
  <si>
    <t>Основное мероприятие 4.04.03. Установка, настройка и сопровождение технических и программных средств защиты информации</t>
  </si>
  <si>
    <t>4.04.03.01 Обеспечение защиты информации на рабочих местах сотрудников, участвующих в информационном взаимодействии</t>
  </si>
  <si>
    <t>4.04.03.02. Консультирование и обучение пользователей программных средств защиты информации, подготовка необходимой документации</t>
  </si>
  <si>
    <t xml:space="preserve">Контрольное событие программы № 100 Средства защиты информации установлены на 100% рабочих мест, необходимых к защите в органах государственной власти Республики Коми </t>
  </si>
  <si>
    <t xml:space="preserve">Контрольное событие программы № 101 Средства защиты информации установлены на 100% рабочих мест, необходимых к защите в органах государственной власти Республики Коми </t>
  </si>
  <si>
    <t xml:space="preserve">Контрольное событие программы № 102 Средства защиты информации установлены на 100% рабочих мест, необходимых к защите в органах государственной власти Республики Коми </t>
  </si>
  <si>
    <t>Итого по мероприятия подпрограммы 4:</t>
  </si>
  <si>
    <t xml:space="preserve">Подпрограмма 5 "Инфраструктура пространственных данных" </t>
  </si>
  <si>
    <t>Основное мероприятие 5.01.02. Развитие республиканской системы формирования и представления пространственных данных</t>
  </si>
  <si>
    <t>Контрольное событие программы № 103 Создано и/или модернизировано не менее 3 сервисов формирования и представления пространственных данных в год</t>
  </si>
  <si>
    <t>Контрольное событие программы № 104 Создано и/или модернизировано не менее 3 сервисов формирования и представления пространственных данных в год</t>
  </si>
  <si>
    <t>Контрольное событие программы № 105 Создано и/или модернизировано не менее 3 сервисов формирования и представления пространственных данных в год</t>
  </si>
  <si>
    <t>Основное мероприятие 5.02.02. Формирование условий для развития навигационно-информационной и мониторинговой инфраструктуры на базе технологии глобальных навигационных спутниковых систем (ГЛОНАСС)</t>
  </si>
  <si>
    <t>5.02.02.01 Техническое сопровождение и обслуживание системы навигации GPS/ГЛОНАС и GPRS</t>
  </si>
  <si>
    <t>5.02.02.02 Оснащение ведомственного автотранспорта автохозяйства Главы Республики Коми и Правительства Республики Коми бортовыми терминалами на базе системы ГЛОНАСС</t>
  </si>
  <si>
    <t>Контрольное событие программы № 106 Бортовые терминалы введены в эксплуатацию на 60 единицах техники Автохозяйства Главы Республики Коми и Правительства Республики Коми</t>
  </si>
  <si>
    <t>Контрольное событие программы № 107 Не менее 100 единиц транспорта оснащены бортовыми терминалами</t>
  </si>
  <si>
    <t>Контрольное событие программы № 108 Не менее 200 единиц транспорта оснащены бортовыми терминалами</t>
  </si>
  <si>
    <t>Итого по мероприятиям подпрограммы 5:</t>
  </si>
  <si>
    <t xml:space="preserve">Подпрограмма 6 "Обеспечение реализации государственной программы" </t>
  </si>
  <si>
    <t>Основное мероприятие 6.01.01.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</si>
  <si>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6.01.01.01.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</si>
  <si>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Основное мероприятие 6.01.02. Обеспечение выполнения функций оператора электронного правительства в Республике Коми</t>
  </si>
  <si>
    <t xml:space="preserve">Контрольное событие программы №109 Проведено обслуживание не менее 422 ед. государственных органов Республики Коми и государственных учреждений Республики Коми в год
</t>
  </si>
  <si>
    <t>Контрольное событие программы №110 Проведено обслуживание не менее 422 ед. государственных органов Республики Коми и государственных учреждений Республики Коми в год</t>
  </si>
  <si>
    <t>Контрольное событие программы №111 Проведено обслуживание не менее 422 ед. государственных органов Республики Коми и государственных учреждений Республики Коми в год</t>
  </si>
  <si>
    <t xml:space="preserve">Основное мероприятие 6.01.04. Обеспечение выполнения функций оператора безопасности электронного правительства в Республике Коми </t>
  </si>
  <si>
    <t xml:space="preserve">Контрольное событие программы № 112 Установлено не менее 350 ед. средств защиты информации на рабочих местах в 2014 году
</t>
  </si>
  <si>
    <t>Контрольное событие программы № 113 Установлено не менее 350 ед. средств защиты информации на рабочих местах в 2015 году</t>
  </si>
  <si>
    <t>Контрольное событие программы № 114 Установлено не менее 350 ед. средств защиты информации на рабочих местах в 2016 году</t>
  </si>
  <si>
    <t>Основное мероприятие 6.01.05. Обеспечение функционирования регионального оператора инфраструктуры пространственных данных</t>
  </si>
  <si>
    <t>Контрольное событие программы № 115 Выполнено 100 % показателей в соответствии с государственным заданием</t>
  </si>
  <si>
    <t>Контрольное событие программы № 116 Выполнено 100 % показателей в соответствии с государственным заданием</t>
  </si>
  <si>
    <t>Контрольное событие программы № 117 Выполнено 100 % показателей в соответствии с государственным заданием</t>
  </si>
  <si>
    <t>Основное мероприятие 6.01.06. Обеспечение функционирования Уполномоченного многофункционального центра Республики Коми</t>
  </si>
  <si>
    <t>Контрольное событие программы № 118 Выполнено 100 % показателей в соответствии с государственным заданием</t>
  </si>
  <si>
    <t>Контрольное событие программы № 119 Выполнено 100 % показателей в соответствии с государственным заданием</t>
  </si>
  <si>
    <t>Контрольное событие программы № 120 Выполнено 100 % показателей в соответствии с государственным заданием</t>
  </si>
  <si>
    <t>Основное мероприятие 6.02.01. Сопровождение и лицензионная поддержка информационных систем</t>
  </si>
  <si>
    <t>6.02.01.03. Сервисное обслуживание пользователей сопровождаемых информационных систем</t>
  </si>
  <si>
    <t>Контрольное событие программы № 121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</si>
  <si>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Контрольное событие программы № 122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</si>
  <si>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Контрольное событие программы № 123 Обеспечена лицензионная чистота и сопровождение информационных систем в 100 % государственных органов Республики Коми и подведомственных им государственных учреждений</t>
  </si>
  <si>
    <t>Основное мероприятие 6.02.02. Внедрение проектных и сервисных методов в управлении процессами внедрения информационно-коммуникационных технологий</t>
  </si>
  <si>
    <t>6.02.02.01. Внедрение инструментов проектного управления и эксплуатации информационно-коммуникационной инфраструктуры для органов государственной власти Республики Коми и органов местного самоуправления в Республики Коми</t>
  </si>
  <si>
    <t>6.02.02.02. Проведение курсов, повышающих уровень знаний в области проектного управления для специалистов в высших учебных заведениях Республики Коми</t>
  </si>
  <si>
    <t>Контрольное событие программы № 124 Процессы проектной деятельности автоматизированы на 100%</t>
  </si>
  <si>
    <t>Контрольное событие программы № 125 Создано и организовано проведение не менее 2-х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Республики Коми</t>
  </si>
  <si>
    <t>Итого по мероприятиям подпрограммы 6:</t>
  </si>
  <si>
    <r>
      <t xml:space="preserve">3.04.01.01. Обеспечение доступности телекоммуникационной инфраструктуры электронного правительства на территории Республики Коми:
</t>
    </r>
    <r>
      <rPr>
        <i/>
        <sz val="11"/>
        <rFont val="Times New Roman"/>
        <family val="1"/>
        <charset val="204"/>
      </rPr>
      <t>(3.04.01.01. Выполнение функций оператора связи 
3.04.01.02. Обеспечение функционирования ядра и магистральной составляющей КСПД РК
3.04.01.03. Обеспечение доступа к сети передачи данных ОИВ РК и подведомственных учреждений)</t>
    </r>
  </si>
  <si>
    <r>
      <t xml:space="preserve">5.01.02.01 Развитие республиканской системы формирования и представления пространственных данных
</t>
    </r>
    <r>
      <rPr>
        <i/>
        <sz val="11"/>
        <rFont val="Times New Roman"/>
        <family val="1"/>
        <charset val="204"/>
      </rPr>
      <t>(5.01.02.01. Реализация сервисов и подсистем геопортала в соответствии с Концепцией создания и развития инфраструктуры пространственных данных Республики Коми
5.01.02.02 Внедрение и развитие базовых геоинформационных систем и сервисов)</t>
    </r>
  </si>
  <si>
    <r>
      <t xml:space="preserve">6.01.04.01. Обеспечение выполнения функций оператора безопасности электронного правительства в Республике Коми:
</t>
    </r>
    <r>
      <rPr>
        <i/>
        <sz val="11"/>
        <rFont val="Times New Roman"/>
        <family val="1"/>
        <charset val="204"/>
      </rPr>
      <t>(6.01.04.01. Обеспечение организации деятельности оператора информационной безопасности
6.01.04.02. Установка, настройка, сопровождение СЗИ на рабочих местах ГИС;
6.01.04.03. Сопровождение технологической инфраструктуры электронного правительства Республики Коми )</t>
    </r>
    <r>
      <rPr>
        <sz val="11"/>
        <rFont val="Times New Roman"/>
        <family val="1"/>
        <charset val="204"/>
      </rPr>
      <t xml:space="preserve">
</t>
    </r>
  </si>
  <si>
    <r>
      <t xml:space="preserve">6.01.05.01. Обеспечение функционирования регионального оператора инфраструктуры пространственных данных:
</t>
    </r>
    <r>
      <rPr>
        <i/>
        <sz val="11"/>
        <rFont val="Times New Roman"/>
        <family val="1"/>
        <charset val="204"/>
      </rPr>
      <t xml:space="preserve">(6.01.05.01 Обеспечение организации деятельности оператора инфраструктуры пространственных данных;
6.01.05.02 Эксплуатация и сопровождение геоинформационных систем;
6.01.05.03 Выполнение функций территориального фонда геологической информации)
</t>
    </r>
  </si>
  <si>
    <t xml:space="preserve">6.01.06.01. Обеспечение функционирования Уполномоченного многофункционального центра Республики Коми
</t>
  </si>
  <si>
    <t>Селютин А.В., руководитель Комитета информатизации и связи Республики Коми</t>
  </si>
  <si>
    <t>Фролов Д.А., заместитель руководителя Агентства Республики Коми по печати и массовым коммуникациям</t>
  </si>
  <si>
    <t xml:space="preserve">Селютин А.В., руководитель Комитета информатизации и связи Республики Коми </t>
  </si>
  <si>
    <t xml:space="preserve"> Харламенков А.А., заместитель министра архитектуры, строительства и коммунального хозяйства Республики Коми </t>
  </si>
  <si>
    <t>Харламенков А.А., заместитель министра архитектуры, строительства и коммунального хозяйства Республики Коми</t>
  </si>
  <si>
    <t>Х</t>
  </si>
  <si>
    <t>X</t>
  </si>
  <si>
    <t xml:space="preserve">Подведомственное учреждение, ответственное за исполнение мероприятия </t>
  </si>
  <si>
    <t>Статус мероприятия (ГЗ, СИЦ)</t>
  </si>
  <si>
    <t>ГАУ РК "ЦИТ"</t>
  </si>
  <si>
    <t>СИЦ</t>
  </si>
  <si>
    <t>Елагин М.Р.</t>
  </si>
  <si>
    <t>Ответственный исполнитель/  исполнитель</t>
  </si>
  <si>
    <t>Попов С.В.</t>
  </si>
  <si>
    <t>Попов С.В./   Арестов Л.Ф.</t>
  </si>
  <si>
    <t>Жолобова О.В.</t>
  </si>
  <si>
    <t>Тульчинский Б.М.</t>
  </si>
  <si>
    <t>Попов С.В./    Каширин Р.А.</t>
  </si>
  <si>
    <t>Власов А.С.</t>
  </si>
  <si>
    <t>Булдакова Т.Х.</t>
  </si>
  <si>
    <t>Попов С.В./    Ефремов А.А.</t>
  </si>
  <si>
    <t>Красавин А.А.</t>
  </si>
  <si>
    <t>Алисас А.Ю.</t>
  </si>
  <si>
    <t>Попов С.В./   Кидышин Ю.С.</t>
  </si>
  <si>
    <t>Соколова А.С.</t>
  </si>
  <si>
    <t>Стручалин Е.В.</t>
  </si>
  <si>
    <t>Антонюк Е.С.</t>
  </si>
  <si>
    <t>6.01.02.03 Обеспечение организации деятельности оператора электронного правительства)</t>
  </si>
  <si>
    <t>6.01.02.02 Ведение электронных баз республиканского законодательства</t>
  </si>
  <si>
    <t>6.01.02.01 Обеспечение организации работы по редакционно-издательской деятельности</t>
  </si>
  <si>
    <t>6.01.02.01. Обеспечение выполнения функций оператора электронного правительства в Республике Коми:</t>
  </si>
  <si>
    <t>Брижань А.А.</t>
  </si>
  <si>
    <t>6.02.01.02 Сопровождение ИС по списку)</t>
  </si>
  <si>
    <t>(6.02.01.01 Лицензионная поддержка внедренных ИС;</t>
  </si>
  <si>
    <r>
      <t xml:space="preserve">6.02.01.01. Сопровождение и лицензионная поддержка информационных систем
</t>
    </r>
    <r>
      <rPr>
        <i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</t>
    </r>
  </si>
  <si>
    <t>ГАУ РК "МФЦ"</t>
  </si>
  <si>
    <t>ГБУ РК "ТФИ РК"</t>
  </si>
  <si>
    <t>ГБУ Республики Коми "ЦБИ"</t>
  </si>
  <si>
    <t>Попов С.В./    Ткаченко И.А.</t>
  </si>
  <si>
    <t>Власова А.О.</t>
  </si>
  <si>
    <t>предусмотрено программой  "2"</t>
  </si>
  <si>
    <t>АУ РК "Комиинформ"</t>
  </si>
  <si>
    <t>Таштимиров А.К.</t>
  </si>
  <si>
    <t>Полшведкин Р.В.</t>
  </si>
  <si>
    <t>Терентьев А.В.</t>
  </si>
  <si>
    <t>ГЗ</t>
  </si>
  <si>
    <t>Полшведкин Д.В., Терентьев А.В., Попов М.Я.</t>
  </si>
  <si>
    <t>Варгин Л.Л.</t>
  </si>
  <si>
    <t>Солдаткичев С.И.</t>
  </si>
  <si>
    <t>Милюк С.Г.</t>
  </si>
  <si>
    <t>Алисас А.Ю./ Солдаткичев С.И./ Родзявичус А.П.</t>
  </si>
  <si>
    <t xml:space="preserve">"Информационное общество" </t>
  </si>
  <si>
    <t xml:space="preserve">Форма мониторинга (квартальная)
реализации государственной программы Республики Коми </t>
  </si>
  <si>
    <t>Отчетный период: 3 мес. 2014 г.</t>
  </si>
  <si>
    <t xml:space="preserve">Ответственный исполнитель: Комитет информатизации и связи Республики Коми </t>
  </si>
  <si>
    <t xml:space="preserve">Лисин Ю.В., министр природных ресурсов и охраны окружающей среды Республики Коми (далее - Минприроды Республики Коми) </t>
  </si>
  <si>
    <t xml:space="preserve">Лисин Ю.В., министр Минприроды Республики Коми </t>
  </si>
  <si>
    <t xml:space="preserve">2.02.07.02. Консультирование по вопросам предоставления государственных и муниципальных услуг </t>
  </si>
  <si>
    <t xml:space="preserve">2.03.01.01. Разработка и внедрение системы обеспечения вызова экстренных оперативных служб через единый номер «112» </t>
  </si>
  <si>
    <t>Итого по государственной программе</t>
  </si>
  <si>
    <t>Примечание (указать причину неосвоения средств/недостижения контрольного события)</t>
  </si>
  <si>
    <t>1.02.02.02 - 30.03.2014 (документация подготовлена и проходит антикоррупционную экспертизу)</t>
  </si>
  <si>
    <t>15.02.2014
объекты введены в эксплуатацию</t>
  </si>
  <si>
    <t>10.02.2014 подписан протокол ввода в опытную эксплуатацию по 5 ОИВ Республики Коми (первая очередь)</t>
  </si>
  <si>
    <t>31.03.2014 сведения размещены в информационно-телекоммуникационной сети «Интернет», организовано регулярное обновление информации с периодичностью 12 часов.</t>
  </si>
  <si>
    <t>В связи с длительным прохождением конкурсных процедур контракт не заключен</t>
  </si>
  <si>
    <t>30.03.2014  заключен  договор на сумму        6 300 тыс.рублей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</si>
</sst>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i/>
      <sz val="2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5" fillId="0" borderId="0"/>
    <xf numFmtId="0" fontId="8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10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4" fontId="12" fillId="2" borderId="1" xfId="6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 wrapText="1"/>
    </xf>
    <xf numFmtId="4" fontId="10" fillId="2" borderId="1" xfId="6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16" fontId="10" fillId="2" borderId="1" xfId="0" applyNumberFormat="1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 wrapText="1"/>
    </xf>
    <xf numFmtId="4" fontId="10" fillId="4" borderId="1" xfId="1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 applyAlignment="1">
      <alignment horizontal="center" vertical="center"/>
    </xf>
    <xf numFmtId="4" fontId="12" fillId="2" borderId="1" xfId="7" applyNumberFormat="1" applyFont="1" applyFill="1" applyBorder="1" applyAlignment="1">
      <alignment horizontal="center" vertical="center"/>
    </xf>
    <xf numFmtId="4" fontId="10" fillId="2" borderId="10" xfId="7" applyNumberFormat="1" applyFont="1" applyFill="1" applyBorder="1" applyAlignment="1">
      <alignment horizontal="center" vertical="center" wrapText="1"/>
    </xf>
    <xf numFmtId="4" fontId="11" fillId="2" borderId="1" xfId="7" applyNumberFormat="1" applyFont="1" applyFill="1" applyBorder="1" applyAlignment="1">
      <alignment horizontal="center" vertical="center" wrapText="1"/>
    </xf>
    <xf numFmtId="4" fontId="10" fillId="2" borderId="0" xfId="7" applyNumberFormat="1" applyFont="1" applyFill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8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justify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7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10" fillId="2" borderId="1" xfId="7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7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4" fontId="10" fillId="2" borderId="1" xfId="7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4" fontId="13" fillId="4" borderId="1" xfId="1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top" wrapText="1"/>
    </xf>
    <xf numFmtId="4" fontId="10" fillId="2" borderId="1" xfId="7" applyNumberFormat="1" applyFont="1" applyFill="1" applyBorder="1" applyAlignment="1">
      <alignment horizontal="center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49" fontId="13" fillId="4" borderId="1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top" wrapText="1"/>
    </xf>
    <xf numFmtId="0" fontId="18" fillId="2" borderId="0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/>
    </xf>
    <xf numFmtId="0" fontId="7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0" xfId="7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3" fillId="2" borderId="1" xfId="7" applyNumberFormat="1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vertical="top" wrapText="1"/>
    </xf>
    <xf numFmtId="0" fontId="23" fillId="4" borderId="4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2" fillId="2" borderId="4" xfId="0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3" xfId="0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4" fontId="12" fillId="0" borderId="1" xfId="6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0" fillId="2" borderId="7" xfId="0" applyNumberFormat="1" applyFont="1" applyFill="1" applyBorder="1" applyAlignment="1">
      <alignment horizontal="center" vertical="center" wrapText="1"/>
    </xf>
    <xf numFmtId="14" fontId="10" fillId="2" borderId="9" xfId="0" applyNumberFormat="1" applyFont="1" applyFill="1" applyBorder="1" applyAlignment="1">
      <alignment horizontal="center" vertical="center" wrapText="1"/>
    </xf>
    <xf numFmtId="14" fontId="10" fillId="2" borderId="8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top" wrapText="1"/>
    </xf>
    <xf numFmtId="4" fontId="10" fillId="2" borderId="7" xfId="0" applyNumberFormat="1" applyFont="1" applyFill="1" applyBorder="1" applyAlignment="1">
      <alignment horizontal="center" vertical="center" wrapText="1"/>
    </xf>
    <xf numFmtId="4" fontId="10" fillId="2" borderId="9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7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</cellXfs>
  <cellStyles count="8">
    <cellStyle name="Excel Built-in Normal" xfId="2"/>
    <cellStyle name="Нейтральный" xfId="6" builtinId="28"/>
    <cellStyle name="Обычный" xfId="0" builtinId="0"/>
    <cellStyle name="Обычный 2" xfId="1"/>
    <cellStyle name="Обычный 2 2" xfId="4"/>
    <cellStyle name="Обычный 2 2 2" xfId="5"/>
    <cellStyle name="Обычный 2 3" xfId="3"/>
    <cellStyle name="Финансовый" xfId="7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6"/>
  <sheetViews>
    <sheetView tabSelected="1" view="pageBreakPreview" zoomScale="90" zoomScaleNormal="60" zoomScaleSheetLayoutView="90" zoomScalePageLayoutView="85" workbookViewId="0">
      <pane ySplit="8" topLeftCell="A9" activePane="bottomLeft" state="frozen"/>
      <selection pane="bottomLeft" activeCell="P17" sqref="P17:P19"/>
    </sheetView>
  </sheetViews>
  <sheetFormatPr defaultRowHeight="15" x14ac:dyDescent="0.2"/>
  <cols>
    <col min="1" max="1" width="7.28515625" style="42" customWidth="1"/>
    <col min="2" max="2" width="60.5703125" style="46" customWidth="1"/>
    <col min="3" max="3" width="7.85546875" style="46" customWidth="1"/>
    <col min="4" max="4" width="20" style="65" customWidth="1"/>
    <col min="5" max="7" width="12.5703125" style="42" customWidth="1"/>
    <col min="8" max="8" width="21.5703125" style="42" customWidth="1"/>
    <col min="9" max="10" width="12.5703125" style="24" customWidth="1"/>
    <col min="11" max="11" width="15.5703125" style="37" customWidth="1"/>
    <col min="12" max="12" width="14.5703125" style="66" hidden="1" customWidth="1"/>
    <col min="13" max="13" width="13" style="54" hidden="1" customWidth="1"/>
    <col min="14" max="14" width="16.140625" style="54" hidden="1" customWidth="1"/>
    <col min="15" max="15" width="14.85546875" style="54" hidden="1" customWidth="1"/>
    <col min="16" max="19" width="9.140625" style="45"/>
    <col min="20" max="20" width="14.42578125" style="45" customWidth="1"/>
    <col min="21" max="16384" width="9.140625" style="45"/>
  </cols>
  <sheetData>
    <row r="1" spans="1:20" ht="16.5" customHeight="1" x14ac:dyDescent="0.2">
      <c r="B1" s="43"/>
      <c r="C1" s="43"/>
      <c r="D1" s="79"/>
      <c r="E1" s="44"/>
      <c r="F1" s="44"/>
      <c r="G1" s="44"/>
      <c r="H1" s="44"/>
      <c r="I1" s="21"/>
      <c r="J1" s="21"/>
      <c r="K1" s="85" t="s">
        <v>7</v>
      </c>
    </row>
    <row r="2" spans="1:20" s="10" customFormat="1" ht="18.75" x14ac:dyDescent="0.2">
      <c r="A2" s="9"/>
      <c r="B2" s="131" t="s">
        <v>357</v>
      </c>
      <c r="C2" s="131"/>
      <c r="D2" s="131"/>
      <c r="E2" s="131"/>
      <c r="F2" s="131"/>
      <c r="G2" s="131"/>
      <c r="H2" s="131"/>
      <c r="I2" s="131"/>
      <c r="J2" s="131"/>
      <c r="K2" s="131"/>
      <c r="L2" s="149"/>
      <c r="M2" s="149"/>
      <c r="N2" s="149"/>
      <c r="O2" s="149"/>
    </row>
    <row r="3" spans="1:20" s="11" customFormat="1" ht="18.75" x14ac:dyDescent="0.2">
      <c r="A3" s="3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49"/>
      <c r="M3" s="149"/>
      <c r="N3" s="149"/>
      <c r="O3" s="149"/>
    </row>
    <row r="4" spans="1:20" s="11" customFormat="1" ht="25.5" customHeight="1" x14ac:dyDescent="0.2">
      <c r="A4" s="31"/>
      <c r="B4" s="132" t="s">
        <v>356</v>
      </c>
      <c r="C4" s="132"/>
      <c r="D4" s="132"/>
      <c r="E4" s="132"/>
      <c r="F4" s="132"/>
      <c r="G4" s="132"/>
      <c r="H4" s="132"/>
      <c r="I4" s="132"/>
      <c r="J4" s="132"/>
      <c r="K4" s="132"/>
      <c r="L4" s="149"/>
      <c r="M4" s="149"/>
      <c r="N4" s="149"/>
      <c r="O4" s="149"/>
    </row>
    <row r="5" spans="1:20" s="11" customFormat="1" ht="24" customHeight="1" x14ac:dyDescent="0.2">
      <c r="A5" s="31"/>
      <c r="B5" s="132" t="s">
        <v>358</v>
      </c>
      <c r="C5" s="132"/>
      <c r="D5" s="132"/>
      <c r="E5" s="132"/>
      <c r="F5" s="132"/>
      <c r="G5" s="132"/>
      <c r="H5" s="132"/>
      <c r="I5" s="132"/>
      <c r="J5" s="132"/>
      <c r="K5" s="132"/>
      <c r="L5" s="149"/>
      <c r="M5" s="149"/>
      <c r="N5" s="149"/>
      <c r="O5" s="149"/>
    </row>
    <row r="6" spans="1:20" s="11" customFormat="1" ht="27" customHeight="1" x14ac:dyDescent="0.2">
      <c r="A6" s="31"/>
      <c r="B6" s="140" t="s">
        <v>359</v>
      </c>
      <c r="C6" s="140"/>
      <c r="D6" s="140"/>
      <c r="E6" s="140"/>
      <c r="F6" s="140"/>
      <c r="G6" s="140"/>
      <c r="H6" s="140"/>
      <c r="I6" s="140"/>
      <c r="J6" s="140"/>
      <c r="K6" s="140"/>
      <c r="L6" s="67"/>
      <c r="M6" s="55"/>
      <c r="N6" s="55"/>
      <c r="O6" s="55"/>
    </row>
    <row r="7" spans="1:20" s="10" customFormat="1" ht="96.75" customHeight="1" x14ac:dyDescent="0.2">
      <c r="A7" s="133" t="s">
        <v>0</v>
      </c>
      <c r="B7" s="133" t="s">
        <v>1</v>
      </c>
      <c r="C7" s="133" t="s">
        <v>9</v>
      </c>
      <c r="D7" s="134" t="s">
        <v>3</v>
      </c>
      <c r="E7" s="138" t="s">
        <v>10</v>
      </c>
      <c r="F7" s="135" t="s">
        <v>4</v>
      </c>
      <c r="G7" s="138" t="s">
        <v>11</v>
      </c>
      <c r="H7" s="135" t="s">
        <v>5</v>
      </c>
      <c r="I7" s="136" t="s">
        <v>6</v>
      </c>
      <c r="J7" s="136"/>
      <c r="K7" s="137" t="s">
        <v>13</v>
      </c>
      <c r="L7" s="151" t="s">
        <v>312</v>
      </c>
      <c r="M7" s="145" t="s">
        <v>313</v>
      </c>
      <c r="N7" s="145" t="s">
        <v>317</v>
      </c>
      <c r="O7" s="145" t="s">
        <v>365</v>
      </c>
    </row>
    <row r="8" spans="1:20" s="10" customFormat="1" ht="66.75" customHeight="1" x14ac:dyDescent="0.2">
      <c r="A8" s="133"/>
      <c r="B8" s="133"/>
      <c r="C8" s="133"/>
      <c r="D8" s="134"/>
      <c r="E8" s="139"/>
      <c r="F8" s="135"/>
      <c r="G8" s="139"/>
      <c r="H8" s="135"/>
      <c r="I8" s="49" t="s">
        <v>345</v>
      </c>
      <c r="J8" s="49" t="s">
        <v>12</v>
      </c>
      <c r="K8" s="137"/>
      <c r="L8" s="151"/>
      <c r="M8" s="145"/>
      <c r="N8" s="145"/>
      <c r="O8" s="145"/>
    </row>
    <row r="9" spans="1:20" s="27" customFormat="1" ht="18.75" x14ac:dyDescent="0.2">
      <c r="A9" s="25">
        <v>1</v>
      </c>
      <c r="B9" s="26">
        <v>2</v>
      </c>
      <c r="C9" s="26">
        <v>3</v>
      </c>
      <c r="D9" s="80">
        <v>4</v>
      </c>
      <c r="E9" s="51">
        <v>5</v>
      </c>
      <c r="F9" s="51">
        <v>6</v>
      </c>
      <c r="G9" s="51">
        <v>7</v>
      </c>
      <c r="H9" s="51">
        <v>8</v>
      </c>
      <c r="I9" s="33">
        <v>9</v>
      </c>
      <c r="J9" s="33">
        <v>10</v>
      </c>
      <c r="K9" s="52">
        <v>11</v>
      </c>
      <c r="L9" s="68">
        <v>12</v>
      </c>
      <c r="M9" s="53">
        <v>13</v>
      </c>
      <c r="N9" s="53">
        <v>14</v>
      </c>
      <c r="O9" s="53">
        <v>15</v>
      </c>
    </row>
    <row r="10" spans="1:20" s="10" customFormat="1" ht="21" customHeight="1" x14ac:dyDescent="0.2">
      <c r="A10" s="1"/>
      <c r="B10" s="109" t="s">
        <v>16</v>
      </c>
      <c r="C10" s="110"/>
      <c r="D10" s="110"/>
      <c r="E10" s="110"/>
      <c r="F10" s="110"/>
      <c r="G10" s="110"/>
      <c r="H10" s="110"/>
      <c r="I10" s="110"/>
      <c r="J10" s="110"/>
      <c r="K10" s="110"/>
      <c r="L10" s="90"/>
      <c r="M10" s="90"/>
      <c r="N10" s="91"/>
      <c r="O10" s="56"/>
    </row>
    <row r="11" spans="1:20" s="10" customFormat="1" ht="42" customHeight="1" x14ac:dyDescent="0.2">
      <c r="A11" s="1"/>
      <c r="B11" s="29" t="s">
        <v>17</v>
      </c>
      <c r="C11" s="28"/>
      <c r="D11" s="152" t="s">
        <v>305</v>
      </c>
      <c r="E11" s="5">
        <v>41640</v>
      </c>
      <c r="F11" s="3"/>
      <c r="G11" s="5">
        <v>42004</v>
      </c>
      <c r="H11" s="3"/>
      <c r="I11" s="6">
        <f>I12+I13+I14+I15</f>
        <v>2089.0644400000001</v>
      </c>
      <c r="J11" s="6">
        <f t="shared" ref="J11:K11" si="0">J12+J13+J14+J15</f>
        <v>294.59000000000003</v>
      </c>
      <c r="K11" s="34">
        <f t="shared" si="0"/>
        <v>20</v>
      </c>
      <c r="L11" s="69"/>
      <c r="M11" s="56"/>
      <c r="N11" s="56"/>
      <c r="O11" s="56"/>
      <c r="T11" s="78"/>
    </row>
    <row r="12" spans="1:20" s="10" customFormat="1" ht="31.5" customHeight="1" x14ac:dyDescent="0.2">
      <c r="A12" s="1"/>
      <c r="B12" s="28" t="s">
        <v>18</v>
      </c>
      <c r="C12" s="28"/>
      <c r="D12" s="153"/>
      <c r="E12" s="5">
        <v>41640</v>
      </c>
      <c r="F12" s="5">
        <v>41640</v>
      </c>
      <c r="G12" s="5">
        <v>42004</v>
      </c>
      <c r="H12" s="3"/>
      <c r="I12" s="7">
        <f>540000/1000</f>
        <v>540</v>
      </c>
      <c r="J12" s="7">
        <v>54</v>
      </c>
      <c r="K12" s="50">
        <v>0</v>
      </c>
      <c r="L12" s="70" t="s">
        <v>314</v>
      </c>
      <c r="M12" s="58" t="s">
        <v>315</v>
      </c>
      <c r="N12" s="58" t="s">
        <v>316</v>
      </c>
      <c r="O12" s="56"/>
      <c r="T12" s="78"/>
    </row>
    <row r="13" spans="1:20" s="13" customFormat="1" ht="33.75" customHeight="1" x14ac:dyDescent="0.2">
      <c r="A13" s="12"/>
      <c r="B13" s="28" t="s">
        <v>19</v>
      </c>
      <c r="C13" s="28"/>
      <c r="D13" s="153"/>
      <c r="E13" s="5">
        <v>41640</v>
      </c>
      <c r="F13" s="5">
        <v>41640</v>
      </c>
      <c r="G13" s="5">
        <v>42004</v>
      </c>
      <c r="H13" s="4"/>
      <c r="I13" s="7">
        <v>509.8</v>
      </c>
      <c r="J13" s="7">
        <v>54</v>
      </c>
      <c r="K13" s="50">
        <v>0</v>
      </c>
      <c r="L13" s="70" t="s">
        <v>314</v>
      </c>
      <c r="M13" s="58" t="s">
        <v>315</v>
      </c>
      <c r="N13" s="58" t="s">
        <v>316</v>
      </c>
      <c r="O13" s="57"/>
      <c r="T13" s="78"/>
    </row>
    <row r="14" spans="1:20" s="13" customFormat="1" ht="30.75" customHeight="1" x14ac:dyDescent="0.2">
      <c r="A14" s="12"/>
      <c r="B14" s="28" t="s">
        <v>20</v>
      </c>
      <c r="C14" s="28"/>
      <c r="D14" s="153"/>
      <c r="E14" s="5">
        <v>41640</v>
      </c>
      <c r="F14" s="5">
        <v>41640</v>
      </c>
      <c r="G14" s="5">
        <v>42004</v>
      </c>
      <c r="H14" s="4"/>
      <c r="I14" s="7">
        <v>767.8</v>
      </c>
      <c r="J14" s="7">
        <v>78</v>
      </c>
      <c r="K14" s="50">
        <v>20</v>
      </c>
      <c r="L14" s="70" t="s">
        <v>314</v>
      </c>
      <c r="M14" s="58" t="s">
        <v>315</v>
      </c>
      <c r="N14" s="58" t="s">
        <v>316</v>
      </c>
      <c r="O14" s="57"/>
      <c r="T14" s="78"/>
    </row>
    <row r="15" spans="1:20" s="13" customFormat="1" ht="31.5" customHeight="1" x14ac:dyDescent="0.2">
      <c r="A15" s="1"/>
      <c r="B15" s="28" t="s">
        <v>21</v>
      </c>
      <c r="C15" s="28"/>
      <c r="D15" s="154"/>
      <c r="E15" s="5">
        <v>41640</v>
      </c>
      <c r="F15" s="5">
        <v>41640</v>
      </c>
      <c r="G15" s="5">
        <v>42004</v>
      </c>
      <c r="H15" s="3"/>
      <c r="I15" s="7">
        <f>271464.44/1000</f>
        <v>271.46444000000002</v>
      </c>
      <c r="J15" s="7">
        <v>108.59</v>
      </c>
      <c r="K15" s="50">
        <v>0</v>
      </c>
      <c r="L15" s="70" t="s">
        <v>314</v>
      </c>
      <c r="M15" s="58" t="s">
        <v>315</v>
      </c>
      <c r="N15" s="58" t="s">
        <v>316</v>
      </c>
      <c r="O15" s="57"/>
      <c r="T15" s="78"/>
    </row>
    <row r="16" spans="1:20" s="13" customFormat="1" ht="93" customHeight="1" x14ac:dyDescent="0.2">
      <c r="A16" s="14"/>
      <c r="B16" s="30" t="s">
        <v>22</v>
      </c>
      <c r="C16" s="28"/>
      <c r="D16" s="15" t="s">
        <v>305</v>
      </c>
      <c r="E16" s="3" t="s">
        <v>310</v>
      </c>
      <c r="F16" s="3" t="s">
        <v>310</v>
      </c>
      <c r="G16" s="5">
        <v>42004</v>
      </c>
      <c r="H16" s="3"/>
      <c r="I16" s="49" t="s">
        <v>310</v>
      </c>
      <c r="J16" s="49" t="s">
        <v>310</v>
      </c>
      <c r="K16" s="49" t="s">
        <v>310</v>
      </c>
      <c r="L16" s="71"/>
      <c r="M16" s="57"/>
      <c r="N16" s="57"/>
      <c r="O16" s="57"/>
      <c r="T16" s="78"/>
    </row>
    <row r="17" spans="1:20" s="13" customFormat="1" ht="56.25" customHeight="1" x14ac:dyDescent="0.2">
      <c r="A17" s="14"/>
      <c r="B17" s="29" t="s">
        <v>23</v>
      </c>
      <c r="C17" s="28"/>
      <c r="D17" s="141" t="s">
        <v>306</v>
      </c>
      <c r="E17" s="5">
        <v>41640</v>
      </c>
      <c r="F17" s="5"/>
      <c r="G17" s="5">
        <v>42735</v>
      </c>
      <c r="H17" s="3"/>
      <c r="I17" s="6">
        <f t="shared" ref="I17" si="1">I18+I19</f>
        <v>6300</v>
      </c>
      <c r="J17" s="6">
        <f>J18+J19</f>
        <v>1575</v>
      </c>
      <c r="K17" s="6">
        <f t="shared" ref="K17" si="2">K18+K19</f>
        <v>6300</v>
      </c>
      <c r="L17" s="71"/>
      <c r="M17" s="57"/>
      <c r="N17" s="57"/>
      <c r="O17" s="57"/>
      <c r="P17" s="106"/>
      <c r="T17" s="78"/>
    </row>
    <row r="18" spans="1:20" s="13" customFormat="1" ht="47.25" customHeight="1" x14ac:dyDescent="0.2">
      <c r="A18" s="12"/>
      <c r="B18" s="28" t="s">
        <v>24</v>
      </c>
      <c r="C18" s="28"/>
      <c r="D18" s="142"/>
      <c r="E18" s="5">
        <v>41640</v>
      </c>
      <c r="F18" s="5">
        <v>41640</v>
      </c>
      <c r="G18" s="5">
        <v>42735</v>
      </c>
      <c r="H18" s="4"/>
      <c r="I18" s="7">
        <f>6300000/1000</f>
        <v>6300</v>
      </c>
      <c r="J18" s="49">
        <v>1575</v>
      </c>
      <c r="K18" s="35">
        <v>6300</v>
      </c>
      <c r="L18" s="70" t="s">
        <v>346</v>
      </c>
      <c r="M18" s="48" t="s">
        <v>315</v>
      </c>
      <c r="N18" s="48" t="s">
        <v>347</v>
      </c>
      <c r="O18" s="57"/>
      <c r="P18" s="107"/>
      <c r="T18" s="78"/>
    </row>
    <row r="19" spans="1:20" s="13" customFormat="1" ht="35.25" customHeight="1" x14ac:dyDescent="0.2">
      <c r="A19" s="12"/>
      <c r="B19" s="28" t="s">
        <v>25</v>
      </c>
      <c r="C19" s="28"/>
      <c r="D19" s="143"/>
      <c r="E19" s="5">
        <v>41640</v>
      </c>
      <c r="F19" s="5">
        <v>41640</v>
      </c>
      <c r="G19" s="5">
        <v>42735</v>
      </c>
      <c r="H19" s="4"/>
      <c r="I19" s="49">
        <v>0</v>
      </c>
      <c r="J19" s="49">
        <v>0</v>
      </c>
      <c r="K19" s="50">
        <v>0</v>
      </c>
      <c r="L19" s="70" t="s">
        <v>346</v>
      </c>
      <c r="M19" s="48" t="s">
        <v>315</v>
      </c>
      <c r="N19" s="48" t="s">
        <v>347</v>
      </c>
      <c r="O19" s="57"/>
      <c r="P19" s="108"/>
      <c r="T19" s="78"/>
    </row>
    <row r="20" spans="1:20" s="13" customFormat="1" ht="129.75" customHeight="1" x14ac:dyDescent="0.2">
      <c r="A20" s="1"/>
      <c r="B20" s="30" t="s">
        <v>26</v>
      </c>
      <c r="C20" s="28" t="s">
        <v>2</v>
      </c>
      <c r="D20" s="63" t="s">
        <v>306</v>
      </c>
      <c r="E20" s="3" t="s">
        <v>310</v>
      </c>
      <c r="F20" s="3" t="s">
        <v>310</v>
      </c>
      <c r="G20" s="5">
        <v>41728</v>
      </c>
      <c r="H20" s="3" t="s">
        <v>371</v>
      </c>
      <c r="I20" s="49" t="s">
        <v>310</v>
      </c>
      <c r="J20" s="49" t="s">
        <v>310</v>
      </c>
      <c r="K20" s="49" t="s">
        <v>310</v>
      </c>
      <c r="L20" s="71"/>
      <c r="M20" s="57"/>
      <c r="N20" s="57"/>
      <c r="O20" s="57"/>
      <c r="T20" s="78"/>
    </row>
    <row r="21" spans="1:20" s="13" customFormat="1" ht="126.75" customHeight="1" x14ac:dyDescent="0.2">
      <c r="A21" s="14"/>
      <c r="B21" s="30" t="s">
        <v>27</v>
      </c>
      <c r="C21" s="28" t="s">
        <v>2</v>
      </c>
      <c r="D21" s="63" t="s">
        <v>306</v>
      </c>
      <c r="E21" s="3" t="s">
        <v>310</v>
      </c>
      <c r="F21" s="3" t="s">
        <v>310</v>
      </c>
      <c r="G21" s="5">
        <v>42093</v>
      </c>
      <c r="H21" s="3"/>
      <c r="I21" s="49" t="s">
        <v>310</v>
      </c>
      <c r="J21" s="49" t="s">
        <v>310</v>
      </c>
      <c r="K21" s="49" t="s">
        <v>310</v>
      </c>
      <c r="L21" s="71"/>
      <c r="M21" s="57"/>
      <c r="N21" s="57"/>
      <c r="O21" s="57"/>
      <c r="T21" s="78"/>
    </row>
    <row r="22" spans="1:20" s="13" customFormat="1" ht="81.75" customHeight="1" x14ac:dyDescent="0.2">
      <c r="A22" s="14"/>
      <c r="B22" s="30" t="s">
        <v>28</v>
      </c>
      <c r="C22" s="28" t="s">
        <v>2</v>
      </c>
      <c r="D22" s="63" t="s">
        <v>306</v>
      </c>
      <c r="E22" s="3" t="s">
        <v>310</v>
      </c>
      <c r="F22" s="3" t="s">
        <v>310</v>
      </c>
      <c r="G22" s="5">
        <v>42459</v>
      </c>
      <c r="H22" s="3"/>
      <c r="I22" s="49" t="s">
        <v>310</v>
      </c>
      <c r="J22" s="49" t="s">
        <v>310</v>
      </c>
      <c r="K22" s="49" t="s">
        <v>310</v>
      </c>
      <c r="L22" s="71"/>
      <c r="M22" s="57"/>
      <c r="N22" s="57"/>
      <c r="O22" s="57"/>
      <c r="T22" s="78"/>
    </row>
    <row r="23" spans="1:20" s="13" customFormat="1" ht="32.25" customHeight="1" x14ac:dyDescent="0.2">
      <c r="A23" s="14"/>
      <c r="B23" s="29" t="s">
        <v>29</v>
      </c>
      <c r="C23" s="28"/>
      <c r="D23" s="118" t="s">
        <v>305</v>
      </c>
      <c r="E23" s="5">
        <v>41640</v>
      </c>
      <c r="F23" s="4"/>
      <c r="G23" s="5">
        <v>42004</v>
      </c>
      <c r="H23" s="4"/>
      <c r="I23" s="16">
        <f>I24+I25</f>
        <v>1207.3800000000001</v>
      </c>
      <c r="J23" s="16">
        <f t="shared" ref="J23:K23" si="3">J24+J25</f>
        <v>218.95</v>
      </c>
      <c r="K23" s="36">
        <f t="shared" si="3"/>
        <v>0</v>
      </c>
      <c r="L23" s="71"/>
      <c r="M23" s="57"/>
      <c r="N23" s="57"/>
      <c r="O23" s="57"/>
      <c r="T23" s="78"/>
    </row>
    <row r="24" spans="1:20" s="10" customFormat="1" ht="39.75" customHeight="1" x14ac:dyDescent="0.2">
      <c r="A24" s="1"/>
      <c r="B24" s="28" t="s">
        <v>30</v>
      </c>
      <c r="C24" s="28"/>
      <c r="D24" s="118"/>
      <c r="E24" s="5">
        <v>41640</v>
      </c>
      <c r="F24" s="5">
        <v>41640</v>
      </c>
      <c r="G24" s="5">
        <v>42004</v>
      </c>
      <c r="H24" s="3"/>
      <c r="I24" s="7">
        <f>547380/1000</f>
        <v>547.38</v>
      </c>
      <c r="J24" s="49">
        <v>218.95</v>
      </c>
      <c r="K24" s="50">
        <v>0</v>
      </c>
      <c r="L24" s="70" t="s">
        <v>314</v>
      </c>
      <c r="M24" s="48" t="s">
        <v>315</v>
      </c>
      <c r="N24" s="48" t="s">
        <v>316</v>
      </c>
      <c r="O24" s="56"/>
      <c r="T24" s="78"/>
    </row>
    <row r="25" spans="1:20" s="10" customFormat="1" ht="30.75" customHeight="1" x14ac:dyDescent="0.2">
      <c r="A25" s="1"/>
      <c r="B25" s="28" t="s">
        <v>31</v>
      </c>
      <c r="C25" s="29"/>
      <c r="D25" s="118"/>
      <c r="E25" s="5">
        <v>41640</v>
      </c>
      <c r="F25" s="5">
        <v>41640</v>
      </c>
      <c r="G25" s="5">
        <v>42004</v>
      </c>
      <c r="H25" s="3"/>
      <c r="I25" s="7">
        <f>660000/1000</f>
        <v>660</v>
      </c>
      <c r="J25" s="7">
        <v>0</v>
      </c>
      <c r="K25" s="50">
        <v>0</v>
      </c>
      <c r="L25" s="70" t="s">
        <v>314</v>
      </c>
      <c r="M25" s="56"/>
      <c r="N25" s="56"/>
      <c r="O25" s="56"/>
      <c r="T25" s="78"/>
    </row>
    <row r="26" spans="1:20" s="10" customFormat="1" ht="95.25" customHeight="1" x14ac:dyDescent="0.2">
      <c r="A26" s="1"/>
      <c r="B26" s="30" t="s">
        <v>32</v>
      </c>
      <c r="C26" s="28"/>
      <c r="D26" s="15" t="s">
        <v>305</v>
      </c>
      <c r="E26" s="3" t="s">
        <v>310</v>
      </c>
      <c r="F26" s="3"/>
      <c r="G26" s="5">
        <v>42004</v>
      </c>
      <c r="H26" s="3"/>
      <c r="I26" s="49" t="s">
        <v>310</v>
      </c>
      <c r="J26" s="49" t="s">
        <v>310</v>
      </c>
      <c r="K26" s="49" t="s">
        <v>310</v>
      </c>
      <c r="L26" s="69"/>
      <c r="M26" s="56"/>
      <c r="N26" s="56"/>
      <c r="O26" s="56"/>
      <c r="T26" s="78"/>
    </row>
    <row r="27" spans="1:20" s="10" customFormat="1" ht="61.5" customHeight="1" x14ac:dyDescent="0.2">
      <c r="A27" s="1"/>
      <c r="B27" s="29" t="s">
        <v>33</v>
      </c>
      <c r="C27" s="28"/>
      <c r="D27" s="118" t="s">
        <v>307</v>
      </c>
      <c r="E27" s="5">
        <v>41640</v>
      </c>
      <c r="F27" s="3"/>
      <c r="G27" s="5">
        <v>42004</v>
      </c>
      <c r="H27" s="3"/>
      <c r="I27" s="6">
        <f>SUM(I28:I29)</f>
        <v>750</v>
      </c>
      <c r="J27" s="6">
        <f t="shared" ref="J27:K27" si="4">SUM(J28:J29)</f>
        <v>75</v>
      </c>
      <c r="K27" s="34">
        <f t="shared" si="4"/>
        <v>0</v>
      </c>
      <c r="L27" s="56"/>
      <c r="M27" s="56"/>
      <c r="N27" s="56"/>
      <c r="O27" s="56"/>
      <c r="T27" s="78"/>
    </row>
    <row r="28" spans="1:20" s="10" customFormat="1" ht="62.25" customHeight="1" x14ac:dyDescent="0.2">
      <c r="A28" s="1"/>
      <c r="B28" s="28" t="s">
        <v>34</v>
      </c>
      <c r="C28" s="29"/>
      <c r="D28" s="118"/>
      <c r="E28" s="5">
        <v>41821</v>
      </c>
      <c r="F28" s="5">
        <v>41821</v>
      </c>
      <c r="G28" s="5">
        <v>42004</v>
      </c>
      <c r="H28" s="3"/>
      <c r="I28" s="49">
        <f>750000/1000</f>
        <v>750</v>
      </c>
      <c r="J28" s="49">
        <v>75</v>
      </c>
      <c r="K28" s="50">
        <v>0</v>
      </c>
      <c r="L28" s="70" t="s">
        <v>340</v>
      </c>
      <c r="M28" s="56"/>
      <c r="N28" s="56"/>
      <c r="O28" s="56"/>
      <c r="T28" s="78"/>
    </row>
    <row r="29" spans="1:20" s="10" customFormat="1" ht="78.75" customHeight="1" x14ac:dyDescent="0.2">
      <c r="A29" s="1"/>
      <c r="B29" s="28" t="s">
        <v>35</v>
      </c>
      <c r="C29" s="28"/>
      <c r="D29" s="118"/>
      <c r="E29" s="5">
        <v>41640</v>
      </c>
      <c r="F29" s="5">
        <v>41640</v>
      </c>
      <c r="G29" s="5">
        <v>41820</v>
      </c>
      <c r="H29" s="3"/>
      <c r="I29" s="49">
        <v>0</v>
      </c>
      <c r="J29" s="49">
        <v>0</v>
      </c>
      <c r="K29" s="50">
        <v>0</v>
      </c>
      <c r="L29" s="56"/>
      <c r="M29" s="56"/>
      <c r="N29" s="56"/>
      <c r="O29" s="56"/>
      <c r="T29" s="78"/>
    </row>
    <row r="30" spans="1:20" s="10" customFormat="1" ht="92.25" customHeight="1" x14ac:dyDescent="0.2">
      <c r="A30" s="1"/>
      <c r="B30" s="30" t="s">
        <v>36</v>
      </c>
      <c r="C30" s="28" t="s">
        <v>2</v>
      </c>
      <c r="D30" s="15" t="s">
        <v>307</v>
      </c>
      <c r="E30" s="3" t="s">
        <v>310</v>
      </c>
      <c r="F30" s="3" t="s">
        <v>310</v>
      </c>
      <c r="G30" s="5">
        <v>42004</v>
      </c>
      <c r="H30" s="3"/>
      <c r="I30" s="49" t="s">
        <v>310</v>
      </c>
      <c r="J30" s="49" t="s">
        <v>310</v>
      </c>
      <c r="K30" s="49" t="s">
        <v>310</v>
      </c>
      <c r="L30" s="56"/>
      <c r="M30" s="56"/>
      <c r="N30" s="56"/>
      <c r="O30" s="56"/>
      <c r="T30" s="78"/>
    </row>
    <row r="31" spans="1:20" s="10" customFormat="1" ht="60" customHeight="1" x14ac:dyDescent="0.2">
      <c r="A31" s="1"/>
      <c r="B31" s="29" t="s">
        <v>37</v>
      </c>
      <c r="C31" s="28"/>
      <c r="D31" s="118" t="s">
        <v>307</v>
      </c>
      <c r="E31" s="5">
        <v>41640</v>
      </c>
      <c r="F31" s="3"/>
      <c r="G31" s="5">
        <v>42735</v>
      </c>
      <c r="H31" s="3"/>
      <c r="I31" s="6">
        <f>SUM(I32:I33)</f>
        <v>450.90820000000002</v>
      </c>
      <c r="J31" s="6">
        <f t="shared" ref="J31:K31" si="5">SUM(J32:J33)</f>
        <v>100</v>
      </c>
      <c r="K31" s="34">
        <f t="shared" si="5"/>
        <v>0</v>
      </c>
      <c r="L31" s="56"/>
      <c r="M31" s="56"/>
      <c r="N31" s="56"/>
      <c r="O31" s="56"/>
      <c r="T31" s="78"/>
    </row>
    <row r="32" spans="1:20" s="10" customFormat="1" ht="21.75" customHeight="1" x14ac:dyDescent="0.2">
      <c r="A32" s="1"/>
      <c r="B32" s="28" t="s">
        <v>38</v>
      </c>
      <c r="C32" s="28"/>
      <c r="D32" s="118"/>
      <c r="E32" s="5">
        <v>41640</v>
      </c>
      <c r="F32" s="5">
        <v>41640</v>
      </c>
      <c r="G32" s="5">
        <v>42735</v>
      </c>
      <c r="H32" s="3"/>
      <c r="I32" s="49">
        <f>450908.2/1000</f>
        <v>450.90820000000002</v>
      </c>
      <c r="J32" s="38">
        <v>100</v>
      </c>
      <c r="K32" s="50">
        <v>0</v>
      </c>
      <c r="L32" s="72" t="s">
        <v>314</v>
      </c>
      <c r="M32" s="20" t="s">
        <v>315</v>
      </c>
      <c r="N32" s="20" t="s">
        <v>316</v>
      </c>
      <c r="O32" s="56"/>
      <c r="T32" s="78"/>
    </row>
    <row r="33" spans="1:20" s="10" customFormat="1" ht="30.75" customHeight="1" x14ac:dyDescent="0.2">
      <c r="A33" s="1"/>
      <c r="B33" s="28" t="s">
        <v>39</v>
      </c>
      <c r="C33" s="28"/>
      <c r="D33" s="118"/>
      <c r="E33" s="5">
        <v>41640</v>
      </c>
      <c r="F33" s="5">
        <v>41640</v>
      </c>
      <c r="G33" s="5">
        <v>42735</v>
      </c>
      <c r="H33" s="3"/>
      <c r="I33" s="49">
        <v>0</v>
      </c>
      <c r="J33" s="49">
        <v>0</v>
      </c>
      <c r="K33" s="50">
        <v>0</v>
      </c>
      <c r="L33" s="69"/>
      <c r="M33" s="56"/>
      <c r="N33" s="56"/>
      <c r="O33" s="56"/>
      <c r="T33" s="78"/>
    </row>
    <row r="34" spans="1:20" s="10" customFormat="1" ht="93.75" customHeight="1" x14ac:dyDescent="0.2">
      <c r="A34" s="1"/>
      <c r="B34" s="30" t="s">
        <v>40</v>
      </c>
      <c r="C34" s="28"/>
      <c r="D34" s="15" t="s">
        <v>307</v>
      </c>
      <c r="E34" s="3" t="s">
        <v>310</v>
      </c>
      <c r="F34" s="3" t="s">
        <v>310</v>
      </c>
      <c r="G34" s="5">
        <v>42004</v>
      </c>
      <c r="H34" s="3"/>
      <c r="I34" s="49" t="s">
        <v>310</v>
      </c>
      <c r="J34" s="49" t="s">
        <v>310</v>
      </c>
      <c r="K34" s="49" t="s">
        <v>310</v>
      </c>
      <c r="L34" s="69"/>
      <c r="M34" s="56"/>
      <c r="N34" s="56"/>
      <c r="O34" s="56"/>
      <c r="T34" s="78"/>
    </row>
    <row r="35" spans="1:20" s="10" customFormat="1" ht="95.25" customHeight="1" x14ac:dyDescent="0.2">
      <c r="A35" s="1"/>
      <c r="B35" s="30" t="s">
        <v>41</v>
      </c>
      <c r="C35" s="28"/>
      <c r="D35" s="15" t="s">
        <v>307</v>
      </c>
      <c r="E35" s="3" t="s">
        <v>310</v>
      </c>
      <c r="F35" s="3" t="s">
        <v>310</v>
      </c>
      <c r="G35" s="5">
        <v>42369</v>
      </c>
      <c r="H35" s="3"/>
      <c r="I35" s="49" t="s">
        <v>310</v>
      </c>
      <c r="J35" s="49" t="s">
        <v>310</v>
      </c>
      <c r="K35" s="49" t="s">
        <v>310</v>
      </c>
      <c r="L35" s="69"/>
      <c r="M35" s="56"/>
      <c r="N35" s="56"/>
      <c r="O35" s="56"/>
      <c r="T35" s="78"/>
    </row>
    <row r="36" spans="1:20" s="10" customFormat="1" ht="91.5" customHeight="1" x14ac:dyDescent="0.2">
      <c r="A36" s="1"/>
      <c r="B36" s="30" t="s">
        <v>42</v>
      </c>
      <c r="C36" s="28"/>
      <c r="D36" s="15" t="s">
        <v>307</v>
      </c>
      <c r="E36" s="3" t="s">
        <v>310</v>
      </c>
      <c r="F36" s="3" t="s">
        <v>310</v>
      </c>
      <c r="G36" s="5">
        <v>42735</v>
      </c>
      <c r="H36" s="3"/>
      <c r="I36" s="49" t="s">
        <v>310</v>
      </c>
      <c r="J36" s="49" t="s">
        <v>310</v>
      </c>
      <c r="K36" s="49" t="s">
        <v>310</v>
      </c>
      <c r="L36" s="69"/>
      <c r="M36" s="56"/>
      <c r="N36" s="56"/>
      <c r="O36" s="56"/>
      <c r="T36" s="78"/>
    </row>
    <row r="37" spans="1:20" s="10" customFormat="1" ht="58.5" customHeight="1" x14ac:dyDescent="0.2">
      <c r="A37" s="1"/>
      <c r="B37" s="29" t="s">
        <v>43</v>
      </c>
      <c r="C37" s="29"/>
      <c r="D37" s="118" t="s">
        <v>305</v>
      </c>
      <c r="E37" s="5">
        <v>41640</v>
      </c>
      <c r="F37" s="3"/>
      <c r="G37" s="5">
        <v>42735</v>
      </c>
      <c r="H37" s="3"/>
      <c r="I37" s="6">
        <f>SUM(I38:I39)</f>
        <v>1250</v>
      </c>
      <c r="J37" s="6">
        <f t="shared" ref="J37:K37" si="6">SUM(J38:J39)</f>
        <v>126</v>
      </c>
      <c r="K37" s="34">
        <f t="shared" si="6"/>
        <v>0</v>
      </c>
      <c r="L37" s="69"/>
      <c r="M37" s="56"/>
      <c r="N37" s="56"/>
      <c r="O37" s="56"/>
      <c r="T37" s="78"/>
    </row>
    <row r="38" spans="1:20" s="10" customFormat="1" ht="18.75" x14ac:dyDescent="0.2">
      <c r="A38" s="1"/>
      <c r="B38" s="28" t="s">
        <v>44</v>
      </c>
      <c r="C38" s="28"/>
      <c r="D38" s="118"/>
      <c r="E38" s="5">
        <v>41730</v>
      </c>
      <c r="F38" s="5">
        <v>41730</v>
      </c>
      <c r="G38" s="5">
        <v>42735</v>
      </c>
      <c r="H38" s="3"/>
      <c r="I38" s="49">
        <f>1250000/1000</f>
        <v>1250</v>
      </c>
      <c r="J38" s="49">
        <v>126</v>
      </c>
      <c r="K38" s="50">
        <v>0</v>
      </c>
      <c r="L38" s="72" t="s">
        <v>314</v>
      </c>
      <c r="M38" s="20" t="s">
        <v>315</v>
      </c>
      <c r="N38" s="20" t="s">
        <v>316</v>
      </c>
      <c r="O38" s="56"/>
      <c r="T38" s="78"/>
    </row>
    <row r="39" spans="1:20" s="10" customFormat="1" ht="97.5" customHeight="1" x14ac:dyDescent="0.2">
      <c r="A39" s="1"/>
      <c r="B39" s="28" t="s">
        <v>45</v>
      </c>
      <c r="C39" s="29"/>
      <c r="D39" s="118"/>
      <c r="E39" s="5">
        <v>41640</v>
      </c>
      <c r="F39" s="5">
        <v>41640</v>
      </c>
      <c r="G39" s="102">
        <v>41729</v>
      </c>
      <c r="H39" s="104" t="s">
        <v>366</v>
      </c>
      <c r="I39" s="49">
        <v>0</v>
      </c>
      <c r="J39" s="49">
        <v>0</v>
      </c>
      <c r="K39" s="50">
        <v>0</v>
      </c>
      <c r="L39" s="69"/>
      <c r="M39" s="56"/>
      <c r="N39" s="56"/>
      <c r="O39" s="56"/>
      <c r="T39" s="78"/>
    </row>
    <row r="40" spans="1:20" s="10" customFormat="1" ht="90" customHeight="1" x14ac:dyDescent="0.2">
      <c r="A40" s="1"/>
      <c r="B40" s="30" t="s">
        <v>46</v>
      </c>
      <c r="C40" s="28" t="s">
        <v>2</v>
      </c>
      <c r="D40" s="15" t="s">
        <v>305</v>
      </c>
      <c r="E40" s="3" t="s">
        <v>310</v>
      </c>
      <c r="F40" s="3" t="s">
        <v>310</v>
      </c>
      <c r="G40" s="5">
        <v>41912</v>
      </c>
      <c r="H40" s="3"/>
      <c r="I40" s="49" t="s">
        <v>310</v>
      </c>
      <c r="J40" s="49" t="s">
        <v>310</v>
      </c>
      <c r="K40" s="49" t="s">
        <v>310</v>
      </c>
      <c r="L40" s="69"/>
      <c r="M40" s="56"/>
      <c r="N40" s="56"/>
      <c r="O40" s="56"/>
      <c r="T40" s="78"/>
    </row>
    <row r="41" spans="1:20" s="10" customFormat="1" ht="90" x14ac:dyDescent="0.2">
      <c r="A41" s="1"/>
      <c r="B41" s="30" t="s">
        <v>47</v>
      </c>
      <c r="C41" s="28" t="s">
        <v>2</v>
      </c>
      <c r="D41" s="15" t="s">
        <v>305</v>
      </c>
      <c r="E41" s="3" t="s">
        <v>310</v>
      </c>
      <c r="F41" s="3" t="s">
        <v>310</v>
      </c>
      <c r="G41" s="5">
        <v>42277</v>
      </c>
      <c r="H41" s="3"/>
      <c r="I41" s="49" t="s">
        <v>310</v>
      </c>
      <c r="J41" s="49" t="s">
        <v>310</v>
      </c>
      <c r="K41" s="49" t="s">
        <v>310</v>
      </c>
      <c r="L41" s="69"/>
      <c r="M41" s="56"/>
      <c r="N41" s="56"/>
      <c r="O41" s="56"/>
      <c r="T41" s="78"/>
    </row>
    <row r="42" spans="1:20" s="10" customFormat="1" ht="90" x14ac:dyDescent="0.2">
      <c r="A42" s="1"/>
      <c r="B42" s="30" t="s">
        <v>48</v>
      </c>
      <c r="C42" s="28" t="s">
        <v>2</v>
      </c>
      <c r="D42" s="15" t="s">
        <v>305</v>
      </c>
      <c r="E42" s="3" t="s">
        <v>310</v>
      </c>
      <c r="F42" s="3" t="s">
        <v>310</v>
      </c>
      <c r="G42" s="5">
        <v>42643</v>
      </c>
      <c r="H42" s="3"/>
      <c r="I42" s="49" t="s">
        <v>310</v>
      </c>
      <c r="J42" s="49" t="s">
        <v>310</v>
      </c>
      <c r="K42" s="49" t="s">
        <v>310</v>
      </c>
      <c r="L42" s="69"/>
      <c r="M42" s="56"/>
      <c r="N42" s="56"/>
      <c r="O42" s="56"/>
      <c r="T42" s="78"/>
    </row>
    <row r="43" spans="1:20" s="10" customFormat="1" ht="48" customHeight="1" x14ac:dyDescent="0.2">
      <c r="A43" s="1"/>
      <c r="B43" s="29" t="s">
        <v>49</v>
      </c>
      <c r="C43" s="28"/>
      <c r="D43" s="118" t="s">
        <v>305</v>
      </c>
      <c r="E43" s="5">
        <v>41640</v>
      </c>
      <c r="F43" s="3"/>
      <c r="G43" s="5">
        <v>42369</v>
      </c>
      <c r="H43" s="3"/>
      <c r="I43" s="6">
        <f>I44+I45</f>
        <v>924.73716000000002</v>
      </c>
      <c r="J43" s="6">
        <f t="shared" ref="J43:K43" si="7">J44+J45</f>
        <v>369.89</v>
      </c>
      <c r="K43" s="6">
        <f t="shared" si="7"/>
        <v>0</v>
      </c>
      <c r="L43" s="69"/>
      <c r="M43" s="56"/>
      <c r="N43" s="56"/>
      <c r="O43" s="56"/>
      <c r="T43" s="78"/>
    </row>
    <row r="44" spans="1:20" s="10" customFormat="1" ht="32.25" customHeight="1" x14ac:dyDescent="0.2">
      <c r="A44" s="1"/>
      <c r="B44" s="28" t="s">
        <v>50</v>
      </c>
      <c r="C44" s="28"/>
      <c r="D44" s="118"/>
      <c r="E44" s="5">
        <v>41640</v>
      </c>
      <c r="F44" s="5">
        <v>41640</v>
      </c>
      <c r="G44" s="5">
        <v>42004</v>
      </c>
      <c r="H44" s="3"/>
      <c r="I44" s="49">
        <f>924737.16/1000</f>
        <v>924.73716000000002</v>
      </c>
      <c r="J44" s="49">
        <v>369.89</v>
      </c>
      <c r="K44" s="50">
        <v>0</v>
      </c>
      <c r="L44" s="72" t="s">
        <v>314</v>
      </c>
      <c r="M44" s="20" t="s">
        <v>315</v>
      </c>
      <c r="N44" s="20" t="s">
        <v>316</v>
      </c>
      <c r="O44" s="56"/>
      <c r="T44" s="78"/>
    </row>
    <row r="45" spans="1:20" s="10" customFormat="1" ht="24.75" customHeight="1" x14ac:dyDescent="0.2">
      <c r="A45" s="1"/>
      <c r="B45" s="28" t="s">
        <v>51</v>
      </c>
      <c r="C45" s="28"/>
      <c r="D45" s="118"/>
      <c r="E45" s="5">
        <v>42005</v>
      </c>
      <c r="F45" s="5">
        <v>42005</v>
      </c>
      <c r="G45" s="5">
        <v>42369</v>
      </c>
      <c r="H45" s="3"/>
      <c r="I45" s="49">
        <v>0</v>
      </c>
      <c r="J45" s="49">
        <v>0</v>
      </c>
      <c r="K45" s="50">
        <v>0</v>
      </c>
      <c r="L45" s="69"/>
      <c r="M45" s="56"/>
      <c r="N45" s="56"/>
      <c r="O45" s="56"/>
      <c r="T45" s="78"/>
    </row>
    <row r="46" spans="1:20" s="10" customFormat="1" ht="90" x14ac:dyDescent="0.2">
      <c r="A46" s="1"/>
      <c r="B46" s="28" t="s">
        <v>52</v>
      </c>
      <c r="C46" s="28"/>
      <c r="D46" s="15" t="s">
        <v>305</v>
      </c>
      <c r="E46" s="5" t="s">
        <v>311</v>
      </c>
      <c r="F46" s="5" t="s">
        <v>311</v>
      </c>
      <c r="G46" s="5">
        <v>42004</v>
      </c>
      <c r="H46" s="3"/>
      <c r="I46" s="49" t="s">
        <v>311</v>
      </c>
      <c r="J46" s="49" t="s">
        <v>311</v>
      </c>
      <c r="K46" s="49" t="s">
        <v>311</v>
      </c>
      <c r="L46" s="69"/>
      <c r="M46" s="56"/>
      <c r="N46" s="56"/>
      <c r="O46" s="56"/>
      <c r="T46" s="78"/>
    </row>
    <row r="47" spans="1:20" s="10" customFormat="1" ht="90" x14ac:dyDescent="0.2">
      <c r="A47" s="1"/>
      <c r="B47" s="30" t="s">
        <v>53</v>
      </c>
      <c r="C47" s="28" t="s">
        <v>2</v>
      </c>
      <c r="D47" s="15" t="s">
        <v>305</v>
      </c>
      <c r="E47" s="3" t="s">
        <v>310</v>
      </c>
      <c r="F47" s="3" t="s">
        <v>310</v>
      </c>
      <c r="G47" s="5">
        <v>42277</v>
      </c>
      <c r="H47" s="3"/>
      <c r="I47" s="49" t="s">
        <v>310</v>
      </c>
      <c r="J47" s="49" t="s">
        <v>310</v>
      </c>
      <c r="K47" s="49" t="s">
        <v>310</v>
      </c>
      <c r="L47" s="69"/>
      <c r="M47" s="56"/>
      <c r="N47" s="56"/>
      <c r="O47" s="56"/>
      <c r="T47" s="78"/>
    </row>
    <row r="48" spans="1:20" s="10" customFormat="1" ht="43.5" customHeight="1" x14ac:dyDescent="0.2">
      <c r="A48" s="1"/>
      <c r="B48" s="29" t="s">
        <v>54</v>
      </c>
      <c r="C48" s="28"/>
      <c r="D48" s="114" t="s">
        <v>305</v>
      </c>
      <c r="E48" s="5">
        <v>41640</v>
      </c>
      <c r="F48" s="3"/>
      <c r="G48" s="5">
        <v>42735</v>
      </c>
      <c r="H48" s="3"/>
      <c r="I48" s="6">
        <f>I49+I50</f>
        <v>590.69060000000002</v>
      </c>
      <c r="J48" s="6">
        <f t="shared" ref="J48:K48" si="8">J49+J50</f>
        <v>130</v>
      </c>
      <c r="K48" s="6">
        <f t="shared" si="8"/>
        <v>0</v>
      </c>
      <c r="L48" s="69"/>
      <c r="M48" s="56"/>
      <c r="N48" s="56"/>
      <c r="O48" s="56"/>
      <c r="T48" s="78"/>
    </row>
    <row r="49" spans="1:20" s="10" customFormat="1" ht="46.5" customHeight="1" x14ac:dyDescent="0.2">
      <c r="A49" s="1"/>
      <c r="B49" s="28" t="s">
        <v>55</v>
      </c>
      <c r="C49" s="28"/>
      <c r="D49" s="114"/>
      <c r="E49" s="5">
        <v>41640</v>
      </c>
      <c r="F49" s="5">
        <v>41640</v>
      </c>
      <c r="G49" s="5">
        <v>42735</v>
      </c>
      <c r="H49" s="3"/>
      <c r="I49" s="49">
        <f>590690.6/1000</f>
        <v>590.69060000000002</v>
      </c>
      <c r="J49" s="49">
        <v>130</v>
      </c>
      <c r="K49" s="50">
        <v>0</v>
      </c>
      <c r="L49" s="72" t="s">
        <v>314</v>
      </c>
      <c r="M49" s="20" t="s">
        <v>315</v>
      </c>
      <c r="N49" s="20" t="s">
        <v>316</v>
      </c>
      <c r="O49" s="56"/>
      <c r="T49" s="78"/>
    </row>
    <row r="50" spans="1:20" s="10" customFormat="1" ht="44.25" customHeight="1" x14ac:dyDescent="0.2">
      <c r="A50" s="1"/>
      <c r="B50" s="28" t="s">
        <v>56</v>
      </c>
      <c r="C50" s="28"/>
      <c r="D50" s="114"/>
      <c r="E50" s="5">
        <v>41640</v>
      </c>
      <c r="F50" s="5">
        <v>41640</v>
      </c>
      <c r="G50" s="5">
        <v>42735</v>
      </c>
      <c r="H50" s="3"/>
      <c r="I50" s="49">
        <v>0</v>
      </c>
      <c r="J50" s="49">
        <v>0</v>
      </c>
      <c r="K50" s="50">
        <v>0</v>
      </c>
      <c r="L50" s="69"/>
      <c r="M50" s="56"/>
      <c r="N50" s="56"/>
      <c r="O50" s="56"/>
      <c r="T50" s="78"/>
    </row>
    <row r="51" spans="1:20" s="10" customFormat="1" ht="91.5" customHeight="1" x14ac:dyDescent="0.2">
      <c r="A51" s="1"/>
      <c r="B51" s="30" t="s">
        <v>57</v>
      </c>
      <c r="C51" s="28"/>
      <c r="D51" s="63" t="s">
        <v>305</v>
      </c>
      <c r="E51" s="3" t="s">
        <v>310</v>
      </c>
      <c r="F51" s="3" t="s">
        <v>310</v>
      </c>
      <c r="G51" s="5">
        <v>42004</v>
      </c>
      <c r="H51" s="3"/>
      <c r="I51" s="49" t="s">
        <v>310</v>
      </c>
      <c r="J51" s="49" t="s">
        <v>310</v>
      </c>
      <c r="K51" s="49" t="s">
        <v>310</v>
      </c>
      <c r="L51" s="69"/>
      <c r="M51" s="56"/>
      <c r="N51" s="56"/>
      <c r="O51" s="56"/>
      <c r="T51" s="78"/>
    </row>
    <row r="52" spans="1:20" s="10" customFormat="1" ht="93" customHeight="1" x14ac:dyDescent="0.2">
      <c r="A52" s="1"/>
      <c r="B52" s="30" t="s">
        <v>58</v>
      </c>
      <c r="C52" s="28"/>
      <c r="D52" s="63" t="s">
        <v>305</v>
      </c>
      <c r="E52" s="3" t="s">
        <v>310</v>
      </c>
      <c r="F52" s="3" t="s">
        <v>310</v>
      </c>
      <c r="G52" s="5">
        <v>42369</v>
      </c>
      <c r="H52" s="3"/>
      <c r="I52" s="49" t="s">
        <v>310</v>
      </c>
      <c r="J52" s="49" t="s">
        <v>310</v>
      </c>
      <c r="K52" s="49" t="s">
        <v>310</v>
      </c>
      <c r="L52" s="69"/>
      <c r="M52" s="56"/>
      <c r="N52" s="56"/>
      <c r="O52" s="56"/>
      <c r="T52" s="78"/>
    </row>
    <row r="53" spans="1:20" s="10" customFormat="1" ht="92.25" customHeight="1" x14ac:dyDescent="0.2">
      <c r="A53" s="1"/>
      <c r="B53" s="30" t="s">
        <v>59</v>
      </c>
      <c r="C53" s="28"/>
      <c r="D53" s="63" t="s">
        <v>305</v>
      </c>
      <c r="E53" s="3" t="s">
        <v>310</v>
      </c>
      <c r="F53" s="3" t="s">
        <v>310</v>
      </c>
      <c r="G53" s="5">
        <v>42735</v>
      </c>
      <c r="H53" s="3"/>
      <c r="I53" s="49" t="s">
        <v>310</v>
      </c>
      <c r="J53" s="49" t="s">
        <v>310</v>
      </c>
      <c r="K53" s="49" t="s">
        <v>310</v>
      </c>
      <c r="L53" s="69"/>
      <c r="M53" s="56"/>
      <c r="N53" s="56"/>
      <c r="O53" s="56"/>
      <c r="T53" s="78"/>
    </row>
    <row r="54" spans="1:20" s="10" customFormat="1" ht="18.75" x14ac:dyDescent="0.2">
      <c r="A54" s="1"/>
      <c r="B54" s="144" t="s">
        <v>60</v>
      </c>
      <c r="C54" s="144"/>
      <c r="D54" s="144"/>
      <c r="E54" s="144"/>
      <c r="F54" s="144"/>
      <c r="G54" s="144"/>
      <c r="H54" s="144"/>
      <c r="I54" s="86">
        <f>I48+I43+I37+I31+I27+I23+I17+I11</f>
        <v>13562.7804</v>
      </c>
      <c r="J54" s="86">
        <f t="shared" ref="J54:K54" si="9">J48+J43+J37+J31+J27+J23+J17+J11</f>
        <v>2889.4300000000003</v>
      </c>
      <c r="K54" s="87">
        <f t="shared" si="9"/>
        <v>6320</v>
      </c>
      <c r="L54" s="69"/>
      <c r="M54" s="56"/>
      <c r="N54" s="56"/>
      <c r="O54" s="56"/>
      <c r="T54" s="78"/>
    </row>
    <row r="55" spans="1:20" s="10" customFormat="1" ht="18.75" customHeight="1" x14ac:dyDescent="0.2">
      <c r="A55" s="1"/>
      <c r="B55" s="109" t="s">
        <v>61</v>
      </c>
      <c r="C55" s="110"/>
      <c r="D55" s="110"/>
      <c r="E55" s="110"/>
      <c r="F55" s="110"/>
      <c r="G55" s="110"/>
      <c r="H55" s="110"/>
      <c r="I55" s="110"/>
      <c r="J55" s="110"/>
      <c r="K55" s="110"/>
      <c r="L55" s="88"/>
      <c r="M55" s="88"/>
      <c r="N55" s="89"/>
      <c r="O55" s="56"/>
      <c r="T55" s="78"/>
    </row>
    <row r="56" spans="1:20" s="10" customFormat="1" ht="60" customHeight="1" x14ac:dyDescent="0.2">
      <c r="A56" s="1"/>
      <c r="B56" s="2" t="s">
        <v>62</v>
      </c>
      <c r="C56" s="28"/>
      <c r="D56" s="114" t="s">
        <v>305</v>
      </c>
      <c r="E56" s="5">
        <v>41640</v>
      </c>
      <c r="F56" s="3"/>
      <c r="G56" s="5">
        <v>42735</v>
      </c>
      <c r="H56" s="3"/>
      <c r="I56" s="6">
        <f>I57+I58</f>
        <v>15001.44605</v>
      </c>
      <c r="J56" s="6">
        <f t="shared" ref="J56:K56" si="10">J57+J58</f>
        <v>2862.6</v>
      </c>
      <c r="K56" s="34">
        <f t="shared" si="10"/>
        <v>174.5</v>
      </c>
      <c r="L56" s="69"/>
      <c r="M56" s="56"/>
      <c r="N56" s="56"/>
      <c r="O56" s="56"/>
      <c r="T56" s="78"/>
    </row>
    <row r="57" spans="1:20" s="10" customFormat="1" ht="97.5" customHeight="1" x14ac:dyDescent="0.2">
      <c r="A57" s="1"/>
      <c r="B57" s="28" t="s">
        <v>63</v>
      </c>
      <c r="C57" s="28"/>
      <c r="D57" s="114"/>
      <c r="E57" s="5">
        <v>41640</v>
      </c>
      <c r="F57" s="5">
        <v>41640</v>
      </c>
      <c r="G57" s="102">
        <v>42004</v>
      </c>
      <c r="H57" s="103"/>
      <c r="I57" s="49">
        <f>13484280/1000</f>
        <v>13484.28</v>
      </c>
      <c r="J57" s="41">
        <v>2350</v>
      </c>
      <c r="K57" s="50">
        <v>174.5</v>
      </c>
      <c r="L57" s="70" t="s">
        <v>314</v>
      </c>
      <c r="M57" s="48" t="s">
        <v>315</v>
      </c>
      <c r="N57" s="48" t="s">
        <v>319</v>
      </c>
      <c r="O57" s="56"/>
      <c r="T57" s="78"/>
    </row>
    <row r="58" spans="1:20" s="10" customFormat="1" ht="60" x14ac:dyDescent="0.2">
      <c r="A58" s="1"/>
      <c r="B58" s="28" t="s">
        <v>64</v>
      </c>
      <c r="C58" s="28"/>
      <c r="D58" s="114"/>
      <c r="E58" s="5">
        <v>41640</v>
      </c>
      <c r="F58" s="5">
        <v>41640</v>
      </c>
      <c r="G58" s="5">
        <v>42735</v>
      </c>
      <c r="H58" s="3"/>
      <c r="I58" s="49">
        <f>1517166.05/1000</f>
        <v>1517.16605</v>
      </c>
      <c r="J58" s="41">
        <v>512.6</v>
      </c>
      <c r="K58" s="50">
        <v>0</v>
      </c>
      <c r="L58" s="70" t="s">
        <v>314</v>
      </c>
      <c r="M58" s="48" t="s">
        <v>315</v>
      </c>
      <c r="N58" s="48" t="s">
        <v>318</v>
      </c>
      <c r="O58" s="56"/>
      <c r="T58" s="78"/>
    </row>
    <row r="59" spans="1:20" s="10" customFormat="1" ht="103.5" customHeight="1" x14ac:dyDescent="0.2">
      <c r="A59" s="1"/>
      <c r="B59" s="30" t="s">
        <v>65</v>
      </c>
      <c r="C59" s="28" t="s">
        <v>2</v>
      </c>
      <c r="D59" s="63" t="s">
        <v>305</v>
      </c>
      <c r="E59" s="3" t="s">
        <v>310</v>
      </c>
      <c r="F59" s="3" t="s">
        <v>310</v>
      </c>
      <c r="G59" s="5">
        <v>41729</v>
      </c>
      <c r="H59" s="103" t="s">
        <v>368</v>
      </c>
      <c r="I59" s="49" t="s">
        <v>310</v>
      </c>
      <c r="J59" s="49" t="s">
        <v>310</v>
      </c>
      <c r="K59" s="49" t="s">
        <v>310</v>
      </c>
      <c r="L59" s="69"/>
      <c r="M59" s="56"/>
      <c r="N59" s="56"/>
      <c r="O59" s="56"/>
      <c r="T59" s="78"/>
    </row>
    <row r="60" spans="1:20" s="10" customFormat="1" ht="90" x14ac:dyDescent="0.2">
      <c r="A60" s="1"/>
      <c r="B60" s="30" t="s">
        <v>66</v>
      </c>
      <c r="C60" s="28"/>
      <c r="D60" s="63" t="s">
        <v>305</v>
      </c>
      <c r="E60" s="3" t="s">
        <v>310</v>
      </c>
      <c r="F60" s="3" t="s">
        <v>310</v>
      </c>
      <c r="G60" s="5">
        <v>42094</v>
      </c>
      <c r="H60" s="3"/>
      <c r="I60" s="49" t="s">
        <v>310</v>
      </c>
      <c r="J60" s="49" t="s">
        <v>310</v>
      </c>
      <c r="K60" s="49" t="s">
        <v>310</v>
      </c>
      <c r="L60" s="69"/>
      <c r="M60" s="56"/>
      <c r="N60" s="56"/>
      <c r="O60" s="56"/>
      <c r="T60" s="78"/>
    </row>
    <row r="61" spans="1:20" s="10" customFormat="1" ht="90" x14ac:dyDescent="0.2">
      <c r="A61" s="1"/>
      <c r="B61" s="30" t="s">
        <v>67</v>
      </c>
      <c r="C61" s="28"/>
      <c r="D61" s="63" t="s">
        <v>305</v>
      </c>
      <c r="E61" s="3" t="s">
        <v>310</v>
      </c>
      <c r="F61" s="3" t="s">
        <v>310</v>
      </c>
      <c r="G61" s="5">
        <v>42460</v>
      </c>
      <c r="H61" s="3"/>
      <c r="I61" s="49" t="s">
        <v>310</v>
      </c>
      <c r="J61" s="49" t="s">
        <v>310</v>
      </c>
      <c r="K61" s="49" t="s">
        <v>310</v>
      </c>
      <c r="L61" s="69"/>
      <c r="M61" s="56"/>
      <c r="N61" s="56"/>
      <c r="O61" s="56"/>
      <c r="T61" s="78"/>
    </row>
    <row r="62" spans="1:20" s="10" customFormat="1" ht="38.25" customHeight="1" x14ac:dyDescent="0.2">
      <c r="A62" s="1"/>
      <c r="B62" s="29" t="s">
        <v>68</v>
      </c>
      <c r="C62" s="28"/>
      <c r="D62" s="114" t="s">
        <v>305</v>
      </c>
      <c r="E62" s="5">
        <v>41640</v>
      </c>
      <c r="F62" s="3"/>
      <c r="G62" s="5">
        <v>42004</v>
      </c>
      <c r="H62" s="3"/>
      <c r="I62" s="6">
        <f>SUM(I63:I64)</f>
        <v>18303.0416</v>
      </c>
      <c r="J62" s="6">
        <f t="shared" ref="J62:K62" si="11">SUM(J63:J64)</f>
        <v>7321.22</v>
      </c>
      <c r="K62" s="34">
        <f t="shared" si="11"/>
        <v>0</v>
      </c>
      <c r="L62" s="69"/>
      <c r="M62" s="56"/>
      <c r="N62" s="56"/>
      <c r="O62" s="56"/>
      <c r="T62" s="78"/>
    </row>
    <row r="63" spans="1:20" s="10" customFormat="1" ht="37.5" customHeight="1" x14ac:dyDescent="0.2">
      <c r="A63" s="1"/>
      <c r="B63" s="28" t="s">
        <v>69</v>
      </c>
      <c r="C63" s="28"/>
      <c r="D63" s="114"/>
      <c r="E63" s="5">
        <v>41640</v>
      </c>
      <c r="F63" s="5">
        <v>41640</v>
      </c>
      <c r="G63" s="5">
        <v>42004</v>
      </c>
      <c r="H63" s="3"/>
      <c r="I63" s="49">
        <f>18303041.6/1000</f>
        <v>18303.0416</v>
      </c>
      <c r="J63" s="38">
        <v>7321.22</v>
      </c>
      <c r="K63" s="50">
        <v>0</v>
      </c>
      <c r="L63" s="70" t="s">
        <v>314</v>
      </c>
      <c r="M63" s="48" t="s">
        <v>315</v>
      </c>
      <c r="N63" s="48" t="s">
        <v>319</v>
      </c>
      <c r="O63" s="56"/>
      <c r="T63" s="78"/>
    </row>
    <row r="64" spans="1:20" s="10" customFormat="1" ht="37.5" customHeight="1" x14ac:dyDescent="0.2">
      <c r="A64" s="1"/>
      <c r="B64" s="28" t="s">
        <v>70</v>
      </c>
      <c r="C64" s="28"/>
      <c r="D64" s="114"/>
      <c r="E64" s="5">
        <v>41640</v>
      </c>
      <c r="F64" s="5">
        <v>41640</v>
      </c>
      <c r="G64" s="5">
        <v>42004</v>
      </c>
      <c r="H64" s="3"/>
      <c r="I64" s="49">
        <v>0</v>
      </c>
      <c r="J64" s="49">
        <v>0</v>
      </c>
      <c r="K64" s="50">
        <v>0</v>
      </c>
      <c r="L64" s="69"/>
      <c r="M64" s="56"/>
      <c r="N64" s="56"/>
      <c r="O64" s="56"/>
      <c r="T64" s="78"/>
    </row>
    <row r="65" spans="1:20" s="10" customFormat="1" ht="93.75" customHeight="1" x14ac:dyDescent="0.2">
      <c r="A65" s="1"/>
      <c r="B65" s="30" t="s">
        <v>71</v>
      </c>
      <c r="C65" s="28"/>
      <c r="D65" s="63" t="s">
        <v>305</v>
      </c>
      <c r="E65" s="3" t="s">
        <v>310</v>
      </c>
      <c r="F65" s="3" t="s">
        <v>310</v>
      </c>
      <c r="G65" s="5">
        <v>42004</v>
      </c>
      <c r="H65" s="3"/>
      <c r="I65" s="49" t="s">
        <v>310</v>
      </c>
      <c r="J65" s="49" t="s">
        <v>310</v>
      </c>
      <c r="K65" s="49" t="s">
        <v>310</v>
      </c>
      <c r="L65" s="69"/>
      <c r="M65" s="56"/>
      <c r="N65" s="56"/>
      <c r="O65" s="56"/>
      <c r="T65" s="78"/>
    </row>
    <row r="66" spans="1:20" s="10" customFormat="1" ht="50.25" customHeight="1" x14ac:dyDescent="0.2">
      <c r="A66" s="1"/>
      <c r="B66" s="29" t="s">
        <v>72</v>
      </c>
      <c r="C66" s="28"/>
      <c r="D66" s="114" t="s">
        <v>305</v>
      </c>
      <c r="E66" s="5">
        <v>41640</v>
      </c>
      <c r="F66" s="3"/>
      <c r="G66" s="5">
        <v>42735</v>
      </c>
      <c r="H66" s="3"/>
      <c r="I66" s="6">
        <f>SUM(I67:I68)</f>
        <v>11303.0416</v>
      </c>
      <c r="J66" s="6">
        <f t="shared" ref="J66:K66" si="12">SUM(J67:J68)</f>
        <v>2154</v>
      </c>
      <c r="K66" s="6">
        <f t="shared" si="12"/>
        <v>0</v>
      </c>
      <c r="L66" s="69"/>
      <c r="M66" s="56"/>
      <c r="N66" s="56"/>
      <c r="O66" s="56"/>
      <c r="T66" s="78"/>
    </row>
    <row r="67" spans="1:20" s="10" customFormat="1" ht="42.75" customHeight="1" x14ac:dyDescent="0.2">
      <c r="A67" s="1"/>
      <c r="B67" s="28" t="s">
        <v>73</v>
      </c>
      <c r="C67" s="28"/>
      <c r="D67" s="114"/>
      <c r="E67" s="5">
        <v>41640</v>
      </c>
      <c r="F67" s="5">
        <v>41640</v>
      </c>
      <c r="G67" s="5">
        <v>42735</v>
      </c>
      <c r="H67" s="3"/>
      <c r="I67" s="49">
        <f>11303041.6/1000</f>
        <v>11303.0416</v>
      </c>
      <c r="J67" s="38">
        <v>2154</v>
      </c>
      <c r="K67" s="50">
        <v>0</v>
      </c>
      <c r="L67" s="70" t="s">
        <v>314</v>
      </c>
      <c r="M67" s="48" t="s">
        <v>315</v>
      </c>
      <c r="N67" s="48" t="s">
        <v>319</v>
      </c>
      <c r="O67" s="56"/>
      <c r="T67" s="78"/>
    </row>
    <row r="68" spans="1:20" s="10" customFormat="1" ht="37.5" customHeight="1" x14ac:dyDescent="0.2">
      <c r="A68" s="1"/>
      <c r="B68" s="28" t="s">
        <v>74</v>
      </c>
      <c r="C68" s="28"/>
      <c r="D68" s="114"/>
      <c r="E68" s="5">
        <v>41640</v>
      </c>
      <c r="F68" s="5">
        <v>41640</v>
      </c>
      <c r="G68" s="5">
        <v>42735</v>
      </c>
      <c r="H68" s="3"/>
      <c r="I68" s="49">
        <v>0</v>
      </c>
      <c r="J68" s="49">
        <v>0</v>
      </c>
      <c r="K68" s="50">
        <v>0</v>
      </c>
      <c r="L68" s="69"/>
      <c r="M68" s="56"/>
      <c r="N68" s="56"/>
      <c r="O68" s="56"/>
      <c r="T68" s="78"/>
    </row>
    <row r="69" spans="1:20" s="10" customFormat="1" ht="90" x14ac:dyDescent="0.2">
      <c r="A69" s="1"/>
      <c r="B69" s="30" t="s">
        <v>75</v>
      </c>
      <c r="C69" s="28"/>
      <c r="D69" s="63" t="s">
        <v>305</v>
      </c>
      <c r="E69" s="5" t="s">
        <v>310</v>
      </c>
      <c r="F69" s="5" t="s">
        <v>310</v>
      </c>
      <c r="G69" s="5">
        <v>42004</v>
      </c>
      <c r="H69" s="3"/>
      <c r="I69" s="22" t="s">
        <v>310</v>
      </c>
      <c r="J69" s="22" t="s">
        <v>310</v>
      </c>
      <c r="K69" s="22" t="s">
        <v>310</v>
      </c>
      <c r="L69" s="69"/>
      <c r="M69" s="56"/>
      <c r="N69" s="56"/>
      <c r="O69" s="56"/>
      <c r="T69" s="78"/>
    </row>
    <row r="70" spans="1:20" s="10" customFormat="1" ht="90" x14ac:dyDescent="0.2">
      <c r="A70" s="1"/>
      <c r="B70" s="30" t="s">
        <v>76</v>
      </c>
      <c r="C70" s="28"/>
      <c r="D70" s="63" t="s">
        <v>305</v>
      </c>
      <c r="E70" s="17" t="s">
        <v>310</v>
      </c>
      <c r="F70" s="17" t="s">
        <v>310</v>
      </c>
      <c r="G70" s="5">
        <v>42369</v>
      </c>
      <c r="H70" s="3"/>
      <c r="I70" s="22" t="s">
        <v>310</v>
      </c>
      <c r="J70" s="22" t="s">
        <v>310</v>
      </c>
      <c r="K70" s="22" t="s">
        <v>310</v>
      </c>
      <c r="L70" s="69"/>
      <c r="M70" s="56"/>
      <c r="N70" s="56"/>
      <c r="O70" s="56"/>
      <c r="T70" s="78"/>
    </row>
    <row r="71" spans="1:20" s="10" customFormat="1" ht="90" x14ac:dyDescent="0.2">
      <c r="A71" s="1"/>
      <c r="B71" s="30" t="s">
        <v>77</v>
      </c>
      <c r="C71" s="28"/>
      <c r="D71" s="63" t="s">
        <v>305</v>
      </c>
      <c r="E71" s="18" t="s">
        <v>310</v>
      </c>
      <c r="F71" s="18" t="s">
        <v>310</v>
      </c>
      <c r="G71" s="5">
        <v>42735</v>
      </c>
      <c r="H71" s="3"/>
      <c r="I71" s="22" t="s">
        <v>310</v>
      </c>
      <c r="J71" s="22" t="s">
        <v>310</v>
      </c>
      <c r="K71" s="22" t="s">
        <v>310</v>
      </c>
      <c r="L71" s="69"/>
      <c r="M71" s="56"/>
      <c r="N71" s="56"/>
      <c r="O71" s="56"/>
      <c r="T71" s="78"/>
    </row>
    <row r="72" spans="1:20" s="10" customFormat="1" ht="42.75" x14ac:dyDescent="0.2">
      <c r="A72" s="1"/>
      <c r="B72" s="29" t="s">
        <v>78</v>
      </c>
      <c r="C72" s="28"/>
      <c r="D72" s="114" t="s">
        <v>305</v>
      </c>
      <c r="E72" s="17">
        <v>41640</v>
      </c>
      <c r="F72" s="3"/>
      <c r="G72" s="5">
        <v>42004</v>
      </c>
      <c r="H72" s="3"/>
      <c r="I72" s="6">
        <f>SUM(I73:I74)</f>
        <v>10995.310800000001</v>
      </c>
      <c r="J72" s="6">
        <f t="shared" ref="J72:K72" si="13">SUM(J73:J74)</f>
        <v>1534</v>
      </c>
      <c r="K72" s="34">
        <f t="shared" si="13"/>
        <v>0</v>
      </c>
      <c r="L72" s="69"/>
      <c r="M72" s="56"/>
      <c r="N72" s="56"/>
      <c r="O72" s="56"/>
      <c r="T72" s="78"/>
    </row>
    <row r="73" spans="1:20" s="10" customFormat="1" ht="30" customHeight="1" x14ac:dyDescent="0.2">
      <c r="A73" s="1"/>
      <c r="B73" s="28" t="s">
        <v>79</v>
      </c>
      <c r="C73" s="28"/>
      <c r="D73" s="114"/>
      <c r="E73" s="5">
        <v>41640</v>
      </c>
      <c r="F73" s="5">
        <v>41640</v>
      </c>
      <c r="G73" s="5">
        <v>42004</v>
      </c>
      <c r="H73" s="3"/>
      <c r="I73" s="49">
        <f>10995310.8/1000</f>
        <v>10995.310800000001</v>
      </c>
      <c r="J73" s="38">
        <v>1534</v>
      </c>
      <c r="K73" s="50">
        <v>0</v>
      </c>
      <c r="L73" s="70" t="s">
        <v>314</v>
      </c>
      <c r="M73" s="48" t="s">
        <v>315</v>
      </c>
      <c r="N73" s="48" t="s">
        <v>318</v>
      </c>
      <c r="O73" s="56"/>
      <c r="T73" s="78"/>
    </row>
    <row r="74" spans="1:20" s="10" customFormat="1" ht="30.75" customHeight="1" x14ac:dyDescent="0.2">
      <c r="A74" s="1"/>
      <c r="B74" s="28" t="s">
        <v>80</v>
      </c>
      <c r="C74" s="28"/>
      <c r="D74" s="114"/>
      <c r="E74" s="17">
        <v>41640</v>
      </c>
      <c r="F74" s="5">
        <v>41640</v>
      </c>
      <c r="G74" s="5">
        <v>42004</v>
      </c>
      <c r="H74" s="3"/>
      <c r="I74" s="22">
        <v>0</v>
      </c>
      <c r="J74" s="49">
        <v>0</v>
      </c>
      <c r="K74" s="50">
        <v>0</v>
      </c>
      <c r="L74" s="69"/>
      <c r="M74" s="56"/>
      <c r="N74" s="56"/>
      <c r="O74" s="56"/>
      <c r="T74" s="78"/>
    </row>
    <row r="75" spans="1:20" s="10" customFormat="1" ht="90" x14ac:dyDescent="0.2">
      <c r="A75" s="1"/>
      <c r="B75" s="30" t="s">
        <v>81</v>
      </c>
      <c r="C75" s="28"/>
      <c r="D75" s="63" t="s">
        <v>305</v>
      </c>
      <c r="E75" s="3" t="s">
        <v>310</v>
      </c>
      <c r="F75" s="3" t="s">
        <v>310</v>
      </c>
      <c r="G75" s="5">
        <v>42004</v>
      </c>
      <c r="H75" s="3"/>
      <c r="I75" s="49" t="s">
        <v>310</v>
      </c>
      <c r="J75" s="49" t="s">
        <v>310</v>
      </c>
      <c r="K75" s="49" t="s">
        <v>310</v>
      </c>
      <c r="L75" s="69"/>
      <c r="M75" s="56"/>
      <c r="N75" s="56"/>
      <c r="O75" s="56"/>
      <c r="T75" s="78"/>
    </row>
    <row r="76" spans="1:20" s="10" customFormat="1" ht="42.75" x14ac:dyDescent="0.2">
      <c r="A76" s="1"/>
      <c r="B76" s="29" t="s">
        <v>82</v>
      </c>
      <c r="C76" s="28"/>
      <c r="D76" s="114" t="s">
        <v>305</v>
      </c>
      <c r="E76" s="5">
        <v>41640</v>
      </c>
      <c r="F76" s="3"/>
      <c r="G76" s="5">
        <v>42735</v>
      </c>
      <c r="H76" s="3"/>
      <c r="I76" s="6">
        <f>I77+I78</f>
        <v>8685.5010000000002</v>
      </c>
      <c r="J76" s="6">
        <f t="shared" ref="J76:K76" si="14">J77+J78</f>
        <v>2830</v>
      </c>
      <c r="K76" s="34">
        <f t="shared" si="14"/>
        <v>0</v>
      </c>
      <c r="L76" s="69"/>
      <c r="M76" s="56"/>
      <c r="N76" s="56"/>
      <c r="O76" s="56"/>
      <c r="T76" s="78"/>
    </row>
    <row r="77" spans="1:20" s="10" customFormat="1" ht="60.75" customHeight="1" x14ac:dyDescent="0.2">
      <c r="A77" s="1"/>
      <c r="B77" s="28" t="s">
        <v>83</v>
      </c>
      <c r="C77" s="28"/>
      <c r="D77" s="114"/>
      <c r="E77" s="5">
        <v>41640</v>
      </c>
      <c r="F77" s="5">
        <v>41640</v>
      </c>
      <c r="G77" s="5">
        <v>42735</v>
      </c>
      <c r="H77" s="3"/>
      <c r="I77" s="49">
        <f>5931971.6/1000</f>
        <v>5931.9715999999999</v>
      </c>
      <c r="J77" s="41">
        <v>2096</v>
      </c>
      <c r="K77" s="50">
        <v>0</v>
      </c>
      <c r="L77" s="70" t="s">
        <v>314</v>
      </c>
      <c r="M77" s="48" t="s">
        <v>315</v>
      </c>
      <c r="N77" s="48" t="s">
        <v>320</v>
      </c>
      <c r="O77" s="56"/>
      <c r="T77" s="78"/>
    </row>
    <row r="78" spans="1:20" s="10" customFormat="1" ht="32.25" customHeight="1" x14ac:dyDescent="0.2">
      <c r="A78" s="1"/>
      <c r="B78" s="28" t="s">
        <v>84</v>
      </c>
      <c r="C78" s="28"/>
      <c r="D78" s="114"/>
      <c r="E78" s="5">
        <v>41640</v>
      </c>
      <c r="F78" s="5">
        <v>41640</v>
      </c>
      <c r="G78" s="5">
        <v>42369</v>
      </c>
      <c r="H78" s="3"/>
      <c r="I78" s="49">
        <f>2753529.4/1000</f>
        <v>2753.5293999999999</v>
      </c>
      <c r="J78" s="41">
        <v>734</v>
      </c>
      <c r="K78" s="50">
        <v>0</v>
      </c>
      <c r="L78" s="70" t="s">
        <v>314</v>
      </c>
      <c r="M78" s="48" t="s">
        <v>315</v>
      </c>
      <c r="N78" s="48" t="s">
        <v>320</v>
      </c>
      <c r="O78" s="56"/>
      <c r="T78" s="78"/>
    </row>
    <row r="79" spans="1:20" s="10" customFormat="1" ht="47.25" customHeight="1" x14ac:dyDescent="0.2">
      <c r="A79" s="1"/>
      <c r="B79" s="30" t="s">
        <v>85</v>
      </c>
      <c r="C79" s="28"/>
      <c r="D79" s="113" t="s">
        <v>305</v>
      </c>
      <c r="E79" s="3" t="s">
        <v>310</v>
      </c>
      <c r="F79" s="3" t="s">
        <v>310</v>
      </c>
      <c r="G79" s="5">
        <v>41912</v>
      </c>
      <c r="H79" s="3"/>
      <c r="I79" s="49" t="s">
        <v>310</v>
      </c>
      <c r="J79" s="49" t="s">
        <v>310</v>
      </c>
      <c r="K79" s="49" t="s">
        <v>310</v>
      </c>
      <c r="L79" s="69"/>
      <c r="M79" s="56"/>
      <c r="N79" s="56"/>
      <c r="O79" s="56"/>
      <c r="T79" s="78"/>
    </row>
    <row r="80" spans="1:20" s="10" customFormat="1" ht="61.5" customHeight="1" x14ac:dyDescent="0.2">
      <c r="A80" s="1"/>
      <c r="B80" s="30" t="s">
        <v>86</v>
      </c>
      <c r="C80" s="28"/>
      <c r="D80" s="113"/>
      <c r="E80" s="3" t="s">
        <v>310</v>
      </c>
      <c r="F80" s="3" t="s">
        <v>310</v>
      </c>
      <c r="G80" s="5">
        <v>42369</v>
      </c>
      <c r="H80" s="3"/>
      <c r="I80" s="49" t="s">
        <v>310</v>
      </c>
      <c r="J80" s="49" t="s">
        <v>310</v>
      </c>
      <c r="K80" s="49" t="s">
        <v>310</v>
      </c>
      <c r="L80" s="69"/>
      <c r="M80" s="56"/>
      <c r="N80" s="56"/>
      <c r="O80" s="56"/>
      <c r="T80" s="78"/>
    </row>
    <row r="81" spans="1:20" s="10" customFormat="1" ht="30" customHeight="1" x14ac:dyDescent="0.2">
      <c r="A81" s="1"/>
      <c r="B81" s="30" t="s">
        <v>87</v>
      </c>
      <c r="C81" s="28"/>
      <c r="D81" s="113"/>
      <c r="E81" s="3" t="s">
        <v>310</v>
      </c>
      <c r="F81" s="3" t="s">
        <v>310</v>
      </c>
      <c r="G81" s="5">
        <v>42735</v>
      </c>
      <c r="H81" s="3"/>
      <c r="I81" s="49" t="s">
        <v>310</v>
      </c>
      <c r="J81" s="49" t="s">
        <v>310</v>
      </c>
      <c r="K81" s="49" t="s">
        <v>310</v>
      </c>
      <c r="L81" s="69"/>
      <c r="M81" s="56"/>
      <c r="N81" s="56"/>
      <c r="O81" s="56"/>
      <c r="T81" s="78"/>
    </row>
    <row r="82" spans="1:20" s="10" customFormat="1" ht="45" customHeight="1" x14ac:dyDescent="0.2">
      <c r="A82" s="1"/>
      <c r="B82" s="29" t="s">
        <v>88</v>
      </c>
      <c r="C82" s="28"/>
      <c r="D82" s="114" t="s">
        <v>305</v>
      </c>
      <c r="E82" s="5">
        <v>41640</v>
      </c>
      <c r="F82" s="3"/>
      <c r="G82" s="5">
        <v>42004</v>
      </c>
      <c r="H82" s="3"/>
      <c r="I82" s="6">
        <f>SUM(I83:I84)</f>
        <v>13000</v>
      </c>
      <c r="J82" s="6">
        <f t="shared" ref="J82:K82" si="15">SUM(J83:J84)</f>
        <v>1302</v>
      </c>
      <c r="K82" s="34">
        <f t="shared" si="15"/>
        <v>0</v>
      </c>
      <c r="L82" s="70"/>
      <c r="M82" s="48"/>
      <c r="N82" s="48"/>
      <c r="O82" s="56"/>
      <c r="T82" s="78"/>
    </row>
    <row r="83" spans="1:20" s="10" customFormat="1" ht="48" customHeight="1" x14ac:dyDescent="0.2">
      <c r="A83" s="1"/>
      <c r="B83" s="28" t="s">
        <v>89</v>
      </c>
      <c r="C83" s="28"/>
      <c r="D83" s="114"/>
      <c r="E83" s="5">
        <v>41640</v>
      </c>
      <c r="F83" s="5">
        <v>41640</v>
      </c>
      <c r="G83" s="5">
        <v>42004</v>
      </c>
      <c r="H83" s="3"/>
      <c r="I83" s="49">
        <f>13000000/1000</f>
        <v>13000</v>
      </c>
      <c r="J83" s="41">
        <v>1302</v>
      </c>
      <c r="K83" s="50">
        <v>0</v>
      </c>
      <c r="L83" s="70" t="s">
        <v>314</v>
      </c>
      <c r="M83" s="48" t="s">
        <v>315</v>
      </c>
      <c r="N83" s="48" t="s">
        <v>321</v>
      </c>
      <c r="O83" s="48"/>
      <c r="T83" s="78"/>
    </row>
    <row r="84" spans="1:20" s="10" customFormat="1" ht="45" customHeight="1" x14ac:dyDescent="0.2">
      <c r="A84" s="1"/>
      <c r="B84" s="28" t="s">
        <v>90</v>
      </c>
      <c r="C84" s="28"/>
      <c r="D84" s="114"/>
      <c r="E84" s="5">
        <v>41640</v>
      </c>
      <c r="F84" s="5">
        <v>41640</v>
      </c>
      <c r="G84" s="5">
        <v>42004</v>
      </c>
      <c r="H84" s="3"/>
      <c r="I84" s="49">
        <v>0</v>
      </c>
      <c r="J84" s="49">
        <v>0</v>
      </c>
      <c r="K84" s="50">
        <v>0</v>
      </c>
      <c r="L84" s="70"/>
      <c r="M84" s="48"/>
      <c r="N84" s="48"/>
      <c r="O84" s="56"/>
      <c r="T84" s="78"/>
    </row>
    <row r="85" spans="1:20" s="10" customFormat="1" ht="100.5" customHeight="1" x14ac:dyDescent="0.2">
      <c r="A85" s="1"/>
      <c r="B85" s="30" t="s">
        <v>91</v>
      </c>
      <c r="C85" s="28"/>
      <c r="D85" s="63" t="s">
        <v>305</v>
      </c>
      <c r="E85" s="3" t="s">
        <v>310</v>
      </c>
      <c r="F85" s="3" t="s">
        <v>310</v>
      </c>
      <c r="G85" s="5">
        <v>42004</v>
      </c>
      <c r="H85" s="3"/>
      <c r="I85" s="49" t="s">
        <v>310</v>
      </c>
      <c r="J85" s="49" t="s">
        <v>310</v>
      </c>
      <c r="K85" s="49" t="s">
        <v>310</v>
      </c>
      <c r="L85" s="69"/>
      <c r="M85" s="56"/>
      <c r="N85" s="56"/>
      <c r="O85" s="56"/>
      <c r="T85" s="78"/>
    </row>
    <row r="86" spans="1:20" s="10" customFormat="1" ht="33.75" customHeight="1" x14ac:dyDescent="0.2">
      <c r="A86" s="1"/>
      <c r="B86" s="29" t="s">
        <v>92</v>
      </c>
      <c r="C86" s="28"/>
      <c r="D86" s="114" t="s">
        <v>360</v>
      </c>
      <c r="E86" s="5">
        <v>41640</v>
      </c>
      <c r="F86" s="5"/>
      <c r="G86" s="5">
        <v>42735</v>
      </c>
      <c r="H86" s="3"/>
      <c r="I86" s="6">
        <f>I87+I88</f>
        <v>10615.5</v>
      </c>
      <c r="J86" s="6">
        <f>J87+J88</f>
        <v>0</v>
      </c>
      <c r="K86" s="34">
        <f>K87+K88</f>
        <v>0</v>
      </c>
      <c r="L86" s="69"/>
      <c r="M86" s="56"/>
      <c r="N86" s="56"/>
      <c r="O86" s="56"/>
      <c r="T86" s="78"/>
    </row>
    <row r="87" spans="1:20" s="10" customFormat="1" ht="31.5" customHeight="1" x14ac:dyDescent="0.2">
      <c r="A87" s="1"/>
      <c r="B87" s="28" t="s">
        <v>93</v>
      </c>
      <c r="C87" s="28"/>
      <c r="D87" s="114"/>
      <c r="E87" s="5">
        <v>41640</v>
      </c>
      <c r="F87" s="5">
        <v>41640</v>
      </c>
      <c r="G87" s="5">
        <v>42735</v>
      </c>
      <c r="H87" s="3"/>
      <c r="I87" s="49">
        <v>10615.5</v>
      </c>
      <c r="J87" s="49">
        <v>0</v>
      </c>
      <c r="K87" s="50">
        <v>0</v>
      </c>
      <c r="L87" s="69"/>
      <c r="M87" s="48" t="s">
        <v>315</v>
      </c>
      <c r="N87" s="48" t="s">
        <v>348</v>
      </c>
      <c r="O87" s="56"/>
      <c r="P87" s="125"/>
      <c r="T87" s="78"/>
    </row>
    <row r="88" spans="1:20" s="10" customFormat="1" ht="39.75" customHeight="1" x14ac:dyDescent="0.2">
      <c r="A88" s="1"/>
      <c r="B88" s="28" t="s">
        <v>94</v>
      </c>
      <c r="C88" s="28"/>
      <c r="D88" s="114"/>
      <c r="E88" s="5">
        <v>41640</v>
      </c>
      <c r="F88" s="5">
        <v>41640</v>
      </c>
      <c r="G88" s="5">
        <v>42735</v>
      </c>
      <c r="H88" s="3"/>
      <c r="I88" s="49">
        <v>0</v>
      </c>
      <c r="J88" s="49">
        <v>0</v>
      </c>
      <c r="K88" s="50">
        <v>0</v>
      </c>
      <c r="L88" s="69"/>
      <c r="M88" s="48" t="s">
        <v>315</v>
      </c>
      <c r="N88" s="48" t="s">
        <v>348</v>
      </c>
      <c r="O88" s="56"/>
      <c r="P88" s="125"/>
      <c r="T88" s="78"/>
    </row>
    <row r="89" spans="1:20" s="10" customFormat="1" ht="59.25" customHeight="1" x14ac:dyDescent="0.2">
      <c r="A89" s="1"/>
      <c r="B89" s="30" t="s">
        <v>95</v>
      </c>
      <c r="C89" s="28" t="s">
        <v>2</v>
      </c>
      <c r="D89" s="130" t="s">
        <v>361</v>
      </c>
      <c r="E89" s="3" t="s">
        <v>310</v>
      </c>
      <c r="F89" s="3" t="s">
        <v>310</v>
      </c>
      <c r="G89" s="5">
        <v>41670</v>
      </c>
      <c r="H89" s="3" t="s">
        <v>370</v>
      </c>
      <c r="I89" s="49" t="s">
        <v>310</v>
      </c>
      <c r="J89" s="49" t="s">
        <v>310</v>
      </c>
      <c r="K89" s="49" t="s">
        <v>310</v>
      </c>
      <c r="L89" s="69"/>
      <c r="M89" s="56"/>
      <c r="N89" s="56"/>
      <c r="O89" s="56"/>
      <c r="T89" s="78"/>
    </row>
    <row r="90" spans="1:20" s="10" customFormat="1" ht="34.5" customHeight="1" x14ac:dyDescent="0.2">
      <c r="A90" s="1"/>
      <c r="B90" s="30" t="s">
        <v>96</v>
      </c>
      <c r="C90" s="28" t="s">
        <v>2</v>
      </c>
      <c r="D90" s="130"/>
      <c r="E90" s="3" t="s">
        <v>310</v>
      </c>
      <c r="F90" s="3" t="s">
        <v>310</v>
      </c>
      <c r="G90" s="5">
        <v>42035</v>
      </c>
      <c r="H90" s="3"/>
      <c r="I90" s="49" t="s">
        <v>310</v>
      </c>
      <c r="J90" s="49" t="s">
        <v>310</v>
      </c>
      <c r="K90" s="49" t="s">
        <v>310</v>
      </c>
      <c r="L90" s="69"/>
      <c r="M90" s="56"/>
      <c r="N90" s="56"/>
      <c r="O90" s="56"/>
      <c r="T90" s="78"/>
    </row>
    <row r="91" spans="1:20" s="10" customFormat="1" ht="34.5" customHeight="1" x14ac:dyDescent="0.2">
      <c r="A91" s="1"/>
      <c r="B91" s="30" t="s">
        <v>97</v>
      </c>
      <c r="C91" s="28" t="s">
        <v>2</v>
      </c>
      <c r="D91" s="130"/>
      <c r="E91" s="3" t="s">
        <v>310</v>
      </c>
      <c r="F91" s="3" t="s">
        <v>310</v>
      </c>
      <c r="G91" s="5">
        <v>42401</v>
      </c>
      <c r="H91" s="3"/>
      <c r="I91" s="49" t="s">
        <v>310</v>
      </c>
      <c r="J91" s="49" t="s">
        <v>310</v>
      </c>
      <c r="K91" s="49" t="s">
        <v>310</v>
      </c>
      <c r="L91" s="69"/>
      <c r="M91" s="56"/>
      <c r="N91" s="56"/>
      <c r="O91" s="56"/>
      <c r="T91" s="78"/>
    </row>
    <row r="92" spans="1:20" s="10" customFormat="1" ht="60.75" customHeight="1" x14ac:dyDescent="0.2">
      <c r="A92" s="1"/>
      <c r="B92" s="29" t="s">
        <v>98</v>
      </c>
      <c r="C92" s="28"/>
      <c r="D92" s="114" t="s">
        <v>305</v>
      </c>
      <c r="E92" s="5">
        <v>41640</v>
      </c>
      <c r="F92" s="3"/>
      <c r="G92" s="5">
        <v>42735</v>
      </c>
      <c r="H92" s="3"/>
      <c r="I92" s="6">
        <f>I93+I94</f>
        <v>4315.8631999999998</v>
      </c>
      <c r="J92" s="6">
        <f t="shared" ref="J92:K92" si="16">J93+J94</f>
        <v>1438</v>
      </c>
      <c r="K92" s="6">
        <f t="shared" si="16"/>
        <v>0</v>
      </c>
      <c r="L92" s="69"/>
      <c r="M92" s="56"/>
      <c r="N92" s="56"/>
      <c r="O92" s="56"/>
      <c r="T92" s="78"/>
    </row>
    <row r="93" spans="1:20" s="10" customFormat="1" ht="64.5" customHeight="1" x14ac:dyDescent="0.2">
      <c r="A93" s="1"/>
      <c r="B93" s="28" t="s">
        <v>99</v>
      </c>
      <c r="C93" s="28"/>
      <c r="D93" s="114"/>
      <c r="E93" s="5">
        <v>41640</v>
      </c>
      <c r="F93" s="5">
        <v>41640</v>
      </c>
      <c r="G93" s="5">
        <v>42735</v>
      </c>
      <c r="H93" s="3"/>
      <c r="I93" s="49">
        <f>4315863.2/1000</f>
        <v>4315.8631999999998</v>
      </c>
      <c r="J93" s="38">
        <v>1438</v>
      </c>
      <c r="K93" s="50">
        <v>0</v>
      </c>
      <c r="L93" s="70" t="s">
        <v>314</v>
      </c>
      <c r="M93" s="48" t="s">
        <v>315</v>
      </c>
      <c r="N93" s="48" t="s">
        <v>322</v>
      </c>
      <c r="O93" s="56"/>
      <c r="T93" s="78"/>
    </row>
    <row r="94" spans="1:20" s="10" customFormat="1" ht="48" customHeight="1" x14ac:dyDescent="0.2">
      <c r="A94" s="1"/>
      <c r="B94" s="28" t="s">
        <v>100</v>
      </c>
      <c r="C94" s="28"/>
      <c r="D94" s="114"/>
      <c r="E94" s="5">
        <v>41640</v>
      </c>
      <c r="F94" s="5">
        <v>41640</v>
      </c>
      <c r="G94" s="5">
        <v>42735</v>
      </c>
      <c r="H94" s="3"/>
      <c r="I94" s="49">
        <v>0</v>
      </c>
      <c r="J94" s="49">
        <v>0</v>
      </c>
      <c r="K94" s="50">
        <v>0</v>
      </c>
      <c r="L94" s="69"/>
      <c r="M94" s="56"/>
      <c r="N94" s="56"/>
      <c r="O94" s="56"/>
      <c r="T94" s="78"/>
    </row>
    <row r="95" spans="1:20" s="10" customFormat="1" ht="96" customHeight="1" x14ac:dyDescent="0.2">
      <c r="A95" s="1"/>
      <c r="B95" s="30" t="s">
        <v>101</v>
      </c>
      <c r="C95" s="28"/>
      <c r="D95" s="63" t="s">
        <v>305</v>
      </c>
      <c r="E95" s="3" t="s">
        <v>310</v>
      </c>
      <c r="F95" s="3" t="s">
        <v>310</v>
      </c>
      <c r="G95" s="5">
        <v>42369</v>
      </c>
      <c r="H95" s="3"/>
      <c r="I95" s="49" t="s">
        <v>310</v>
      </c>
      <c r="J95" s="49" t="s">
        <v>310</v>
      </c>
      <c r="K95" s="49" t="s">
        <v>310</v>
      </c>
      <c r="L95" s="69"/>
      <c r="M95" s="56"/>
      <c r="N95" s="56"/>
      <c r="O95" s="56"/>
      <c r="T95" s="78"/>
    </row>
    <row r="96" spans="1:20" s="10" customFormat="1" ht="93" customHeight="1" x14ac:dyDescent="0.2">
      <c r="A96" s="1"/>
      <c r="B96" s="30" t="s">
        <v>102</v>
      </c>
      <c r="C96" s="28"/>
      <c r="D96" s="63" t="s">
        <v>305</v>
      </c>
      <c r="E96" s="3" t="s">
        <v>310</v>
      </c>
      <c r="F96" s="3" t="s">
        <v>310</v>
      </c>
      <c r="G96" s="5">
        <v>42735</v>
      </c>
      <c r="H96" s="3"/>
      <c r="I96" s="49" t="s">
        <v>310</v>
      </c>
      <c r="J96" s="49" t="s">
        <v>310</v>
      </c>
      <c r="K96" s="49" t="s">
        <v>310</v>
      </c>
      <c r="L96" s="69"/>
      <c r="M96" s="56"/>
      <c r="N96" s="56"/>
      <c r="O96" s="56"/>
      <c r="T96" s="78"/>
    </row>
    <row r="97" spans="1:20" s="10" customFormat="1" ht="47.25" customHeight="1" x14ac:dyDescent="0.2">
      <c r="A97" s="1"/>
      <c r="B97" s="29" t="s">
        <v>103</v>
      </c>
      <c r="C97" s="28"/>
      <c r="D97" s="114" t="s">
        <v>305</v>
      </c>
      <c r="E97" s="5">
        <v>41640</v>
      </c>
      <c r="F97" s="3"/>
      <c r="G97" s="5">
        <v>42735</v>
      </c>
      <c r="H97" s="3"/>
      <c r="I97" s="6">
        <f>I98+I99</f>
        <v>8181.9715999999999</v>
      </c>
      <c r="J97" s="6">
        <f t="shared" ref="J97:K97" si="17">J98+J99</f>
        <v>1646</v>
      </c>
      <c r="K97" s="6">
        <f t="shared" si="17"/>
        <v>0</v>
      </c>
      <c r="L97" s="69"/>
      <c r="M97" s="56"/>
      <c r="N97" s="56"/>
      <c r="O97" s="56"/>
      <c r="T97" s="78"/>
    </row>
    <row r="98" spans="1:20" s="10" customFormat="1" ht="48" customHeight="1" x14ac:dyDescent="0.2">
      <c r="A98" s="1"/>
      <c r="B98" s="28" t="s">
        <v>104</v>
      </c>
      <c r="C98" s="28"/>
      <c r="D98" s="114"/>
      <c r="E98" s="5">
        <v>41640</v>
      </c>
      <c r="F98" s="5">
        <v>41640</v>
      </c>
      <c r="G98" s="5">
        <v>42735</v>
      </c>
      <c r="H98" s="3"/>
      <c r="I98" s="49">
        <f>8181971.6/1000</f>
        <v>8181.9715999999999</v>
      </c>
      <c r="J98" s="38">
        <v>1646</v>
      </c>
      <c r="K98" s="50">
        <v>0</v>
      </c>
      <c r="L98" s="70" t="s">
        <v>314</v>
      </c>
      <c r="M98" s="48" t="s">
        <v>315</v>
      </c>
      <c r="N98" s="48" t="s">
        <v>318</v>
      </c>
      <c r="O98" s="56"/>
      <c r="T98" s="78"/>
    </row>
    <row r="99" spans="1:20" s="10" customFormat="1" ht="32.25" customHeight="1" x14ac:dyDescent="0.2">
      <c r="A99" s="1"/>
      <c r="B99" s="28" t="s">
        <v>105</v>
      </c>
      <c r="C99" s="28"/>
      <c r="D99" s="114"/>
      <c r="E99" s="5">
        <v>41640</v>
      </c>
      <c r="F99" s="5">
        <v>41640</v>
      </c>
      <c r="G99" s="5">
        <v>42735</v>
      </c>
      <c r="H99" s="3"/>
      <c r="I99" s="49">
        <v>0</v>
      </c>
      <c r="J99" s="49">
        <v>0</v>
      </c>
      <c r="K99" s="50">
        <v>0</v>
      </c>
      <c r="L99" s="69"/>
      <c r="M99" s="56"/>
      <c r="N99" s="56"/>
      <c r="O99" s="56"/>
      <c r="T99" s="78"/>
    </row>
    <row r="100" spans="1:20" s="10" customFormat="1" ht="45" customHeight="1" x14ac:dyDescent="0.2">
      <c r="A100" s="1"/>
      <c r="B100" s="30" t="s">
        <v>106</v>
      </c>
      <c r="C100" s="28"/>
      <c r="D100" s="113" t="s">
        <v>305</v>
      </c>
      <c r="E100" s="3" t="s">
        <v>310</v>
      </c>
      <c r="F100" s="3" t="s">
        <v>310</v>
      </c>
      <c r="G100" s="5">
        <v>42004</v>
      </c>
      <c r="H100" s="3"/>
      <c r="I100" s="49" t="s">
        <v>310</v>
      </c>
      <c r="J100" s="49" t="s">
        <v>310</v>
      </c>
      <c r="K100" s="49" t="s">
        <v>310</v>
      </c>
      <c r="L100" s="69"/>
      <c r="M100" s="56"/>
      <c r="N100" s="56"/>
      <c r="O100" s="56"/>
      <c r="T100" s="78"/>
    </row>
    <row r="101" spans="1:20" s="10" customFormat="1" ht="33" customHeight="1" x14ac:dyDescent="0.2">
      <c r="A101" s="1"/>
      <c r="B101" s="30" t="s">
        <v>107</v>
      </c>
      <c r="C101" s="28"/>
      <c r="D101" s="113" t="s">
        <v>305</v>
      </c>
      <c r="E101" s="3" t="s">
        <v>310</v>
      </c>
      <c r="F101" s="3" t="s">
        <v>310</v>
      </c>
      <c r="G101" s="5">
        <v>42369</v>
      </c>
      <c r="H101" s="3"/>
      <c r="I101" s="49" t="s">
        <v>310</v>
      </c>
      <c r="J101" s="49" t="s">
        <v>310</v>
      </c>
      <c r="K101" s="49" t="s">
        <v>310</v>
      </c>
      <c r="L101" s="69"/>
      <c r="M101" s="56"/>
      <c r="N101" s="56"/>
      <c r="O101" s="56"/>
      <c r="T101" s="78"/>
    </row>
    <row r="102" spans="1:20" s="10" customFormat="1" ht="32.25" customHeight="1" x14ac:dyDescent="0.2">
      <c r="A102" s="1"/>
      <c r="B102" s="30" t="s">
        <v>108</v>
      </c>
      <c r="C102" s="28"/>
      <c r="D102" s="113" t="s">
        <v>305</v>
      </c>
      <c r="E102" s="3" t="s">
        <v>310</v>
      </c>
      <c r="F102" s="3" t="s">
        <v>310</v>
      </c>
      <c r="G102" s="5">
        <v>42735</v>
      </c>
      <c r="H102" s="3"/>
      <c r="I102" s="49" t="s">
        <v>310</v>
      </c>
      <c r="J102" s="49" t="s">
        <v>310</v>
      </c>
      <c r="K102" s="49" t="s">
        <v>310</v>
      </c>
      <c r="L102" s="69"/>
      <c r="M102" s="56"/>
      <c r="N102" s="56"/>
      <c r="O102" s="56"/>
      <c r="T102" s="78"/>
    </row>
    <row r="103" spans="1:20" s="10" customFormat="1" ht="24.75" customHeight="1" x14ac:dyDescent="0.2">
      <c r="A103" s="1"/>
      <c r="B103" s="29" t="s">
        <v>109</v>
      </c>
      <c r="C103" s="28"/>
      <c r="D103" s="141" t="s">
        <v>305</v>
      </c>
      <c r="E103" s="5">
        <v>41640</v>
      </c>
      <c r="F103" s="3"/>
      <c r="G103" s="5">
        <v>42004</v>
      </c>
      <c r="H103" s="3"/>
      <c r="I103" s="6">
        <f>I104+I105</f>
        <v>9283.2436199999993</v>
      </c>
      <c r="J103" s="6">
        <f t="shared" ref="J103:K103" si="18">J104+J105</f>
        <v>2325</v>
      </c>
      <c r="K103" s="6">
        <f t="shared" si="18"/>
        <v>0</v>
      </c>
      <c r="L103" s="69"/>
      <c r="M103" s="56"/>
      <c r="N103" s="56"/>
      <c r="O103" s="56"/>
      <c r="T103" s="78"/>
    </row>
    <row r="104" spans="1:20" s="10" customFormat="1" ht="24.75" customHeight="1" x14ac:dyDescent="0.2">
      <c r="A104" s="1"/>
      <c r="B104" s="28" t="s">
        <v>110</v>
      </c>
      <c r="C104" s="28"/>
      <c r="D104" s="142"/>
      <c r="E104" s="5">
        <v>41640</v>
      </c>
      <c r="F104" s="3"/>
      <c r="G104" s="5">
        <v>42004</v>
      </c>
      <c r="H104" s="3"/>
      <c r="I104" s="49">
        <f>9283243.62/1000</f>
        <v>9283.2436199999993</v>
      </c>
      <c r="J104" s="38">
        <v>2325</v>
      </c>
      <c r="K104" s="50">
        <v>0</v>
      </c>
      <c r="L104" s="70" t="s">
        <v>314</v>
      </c>
      <c r="M104" s="48" t="s">
        <v>315</v>
      </c>
      <c r="N104" s="48" t="s">
        <v>323</v>
      </c>
      <c r="O104" s="56"/>
      <c r="T104" s="78"/>
    </row>
    <row r="105" spans="1:20" s="10" customFormat="1" ht="39.75" customHeight="1" x14ac:dyDescent="0.2">
      <c r="A105" s="1"/>
      <c r="B105" s="28" t="s">
        <v>111</v>
      </c>
      <c r="C105" s="28"/>
      <c r="D105" s="143"/>
      <c r="E105" s="5">
        <v>41640</v>
      </c>
      <c r="F105" s="3"/>
      <c r="G105" s="5">
        <v>42004</v>
      </c>
      <c r="H105" s="3"/>
      <c r="I105" s="49">
        <v>0</v>
      </c>
      <c r="J105" s="49">
        <v>0</v>
      </c>
      <c r="K105" s="50">
        <v>0</v>
      </c>
      <c r="L105" s="69"/>
      <c r="M105" s="56"/>
      <c r="N105" s="56"/>
      <c r="O105" s="56"/>
      <c r="T105" s="78"/>
    </row>
    <row r="106" spans="1:20" s="10" customFormat="1" ht="90.75" customHeight="1" x14ac:dyDescent="0.2">
      <c r="A106" s="1"/>
      <c r="B106" s="30" t="s">
        <v>112</v>
      </c>
      <c r="C106" s="28"/>
      <c r="D106" s="63" t="s">
        <v>305</v>
      </c>
      <c r="E106" s="3" t="s">
        <v>310</v>
      </c>
      <c r="F106" s="3" t="s">
        <v>310</v>
      </c>
      <c r="G106" s="102">
        <v>41729</v>
      </c>
      <c r="H106" s="105" t="s">
        <v>367</v>
      </c>
      <c r="I106" s="49" t="s">
        <v>310</v>
      </c>
      <c r="J106" s="49" t="s">
        <v>310</v>
      </c>
      <c r="K106" s="49" t="s">
        <v>310</v>
      </c>
      <c r="L106" s="69"/>
      <c r="M106" s="56"/>
      <c r="N106" s="56"/>
      <c r="O106" s="56"/>
      <c r="T106" s="78"/>
    </row>
    <row r="107" spans="1:20" s="10" customFormat="1" ht="47.25" customHeight="1" x14ac:dyDescent="0.2">
      <c r="A107" s="1"/>
      <c r="B107" s="29" t="s">
        <v>113</v>
      </c>
      <c r="C107" s="28"/>
      <c r="D107" s="114" t="s">
        <v>305</v>
      </c>
      <c r="E107" s="5">
        <v>41640</v>
      </c>
      <c r="F107" s="3"/>
      <c r="G107" s="5">
        <v>42004</v>
      </c>
      <c r="H107" s="3"/>
      <c r="I107" s="6">
        <f>I108+I109</f>
        <v>3116.0744</v>
      </c>
      <c r="J107" s="6">
        <f t="shared" ref="J107:K107" si="19">J108+J109</f>
        <v>1158</v>
      </c>
      <c r="K107" s="6">
        <f t="shared" si="19"/>
        <v>0</v>
      </c>
      <c r="L107" s="69"/>
      <c r="M107" s="56"/>
      <c r="N107" s="56"/>
      <c r="O107" s="56"/>
      <c r="T107" s="78"/>
    </row>
    <row r="108" spans="1:20" s="10" customFormat="1" ht="53.25" customHeight="1" x14ac:dyDescent="0.2">
      <c r="A108" s="1"/>
      <c r="B108" s="28" t="s">
        <v>114</v>
      </c>
      <c r="C108" s="28"/>
      <c r="D108" s="114"/>
      <c r="E108" s="5">
        <v>41640</v>
      </c>
      <c r="F108" s="3"/>
      <c r="G108" s="5">
        <v>42004</v>
      </c>
      <c r="H108" s="3"/>
      <c r="I108" s="49">
        <f>3116074.4/1000</f>
        <v>3116.0744</v>
      </c>
      <c r="J108" s="38">
        <v>1158</v>
      </c>
      <c r="K108" s="50">
        <v>0</v>
      </c>
      <c r="L108" s="70" t="s">
        <v>314</v>
      </c>
      <c r="M108" s="48" t="s">
        <v>315</v>
      </c>
      <c r="N108" s="48" t="s">
        <v>343</v>
      </c>
      <c r="O108" s="56"/>
      <c r="T108" s="78"/>
    </row>
    <row r="109" spans="1:20" s="10" customFormat="1" ht="62.25" customHeight="1" x14ac:dyDescent="0.2">
      <c r="A109" s="1"/>
      <c r="B109" s="28" t="s">
        <v>115</v>
      </c>
      <c r="C109" s="28"/>
      <c r="D109" s="62"/>
      <c r="E109" s="5">
        <v>41640</v>
      </c>
      <c r="F109" s="3"/>
      <c r="G109" s="5">
        <v>42004</v>
      </c>
      <c r="H109" s="3"/>
      <c r="I109" s="49">
        <v>0</v>
      </c>
      <c r="J109" s="49">
        <v>0</v>
      </c>
      <c r="K109" s="50">
        <v>0</v>
      </c>
      <c r="L109" s="69"/>
      <c r="M109" s="56"/>
      <c r="N109" s="56"/>
      <c r="O109" s="56"/>
      <c r="T109" s="78"/>
    </row>
    <row r="110" spans="1:20" s="10" customFormat="1" ht="90" x14ac:dyDescent="0.2">
      <c r="A110" s="1"/>
      <c r="B110" s="30" t="s">
        <v>116</v>
      </c>
      <c r="C110" s="28" t="s">
        <v>2</v>
      </c>
      <c r="D110" s="63" t="s">
        <v>305</v>
      </c>
      <c r="E110" s="3" t="s">
        <v>310</v>
      </c>
      <c r="F110" s="3" t="s">
        <v>310</v>
      </c>
      <c r="G110" s="5">
        <v>41912</v>
      </c>
      <c r="H110" s="3"/>
      <c r="I110" s="49" t="s">
        <v>310</v>
      </c>
      <c r="J110" s="49" t="s">
        <v>310</v>
      </c>
      <c r="K110" s="49" t="s">
        <v>310</v>
      </c>
      <c r="L110" s="69"/>
      <c r="M110" s="56"/>
      <c r="N110" s="56"/>
      <c r="O110" s="56"/>
      <c r="T110" s="78"/>
    </row>
    <row r="111" spans="1:20" s="10" customFormat="1" ht="57" x14ac:dyDescent="0.2">
      <c r="A111" s="1"/>
      <c r="B111" s="29" t="s">
        <v>117</v>
      </c>
      <c r="C111" s="28"/>
      <c r="D111" s="114" t="s">
        <v>305</v>
      </c>
      <c r="E111" s="5">
        <v>41640</v>
      </c>
      <c r="F111" s="3"/>
      <c r="G111" s="5">
        <v>42735</v>
      </c>
      <c r="H111" s="3"/>
      <c r="I111" s="6">
        <f>I112+I113</f>
        <v>13291.545679999999</v>
      </c>
      <c r="J111" s="6">
        <f t="shared" ref="J111:K111" si="20">J112+J113</f>
        <v>3315</v>
      </c>
      <c r="K111" s="6">
        <f t="shared" si="20"/>
        <v>0</v>
      </c>
      <c r="L111" s="69"/>
      <c r="M111" s="56"/>
      <c r="N111" s="56"/>
      <c r="O111" s="56"/>
      <c r="T111" s="78"/>
    </row>
    <row r="112" spans="1:20" s="10" customFormat="1" ht="45" x14ac:dyDescent="0.2">
      <c r="A112" s="1"/>
      <c r="B112" s="28" t="s">
        <v>118</v>
      </c>
      <c r="C112" s="28"/>
      <c r="D112" s="114"/>
      <c r="E112" s="5">
        <v>41640</v>
      </c>
      <c r="F112" s="5">
        <v>41640</v>
      </c>
      <c r="G112" s="5">
        <v>42735</v>
      </c>
      <c r="H112" s="3"/>
      <c r="I112" s="49">
        <f>13291545.68/1000</f>
        <v>13291.545679999999</v>
      </c>
      <c r="J112" s="38">
        <v>3315</v>
      </c>
      <c r="K112" s="50">
        <v>0</v>
      </c>
      <c r="L112" s="70" t="s">
        <v>314</v>
      </c>
      <c r="M112" s="48" t="s">
        <v>315</v>
      </c>
      <c r="N112" s="48" t="s">
        <v>344</v>
      </c>
      <c r="O112" s="56"/>
      <c r="T112" s="78"/>
    </row>
    <row r="113" spans="1:20" s="10" customFormat="1" ht="60" x14ac:dyDescent="0.2">
      <c r="A113" s="1"/>
      <c r="B113" s="28" t="s">
        <v>119</v>
      </c>
      <c r="C113" s="28"/>
      <c r="D113" s="114"/>
      <c r="E113" s="5">
        <v>41640</v>
      </c>
      <c r="F113" s="5">
        <v>41640</v>
      </c>
      <c r="G113" s="5">
        <v>42735</v>
      </c>
      <c r="H113" s="3"/>
      <c r="I113" s="49">
        <v>0</v>
      </c>
      <c r="J113" s="49">
        <v>0</v>
      </c>
      <c r="K113" s="50">
        <v>0</v>
      </c>
      <c r="L113" s="69"/>
      <c r="M113" s="56"/>
      <c r="N113" s="56"/>
      <c r="O113" s="56"/>
      <c r="T113" s="78"/>
    </row>
    <row r="114" spans="1:20" s="10" customFormat="1" ht="90" x14ac:dyDescent="0.2">
      <c r="A114" s="1"/>
      <c r="B114" s="30" t="s">
        <v>120</v>
      </c>
      <c r="C114" s="28" t="s">
        <v>2</v>
      </c>
      <c r="D114" s="63" t="s">
        <v>305</v>
      </c>
      <c r="E114" s="3" t="s">
        <v>310</v>
      </c>
      <c r="F114" s="3" t="s">
        <v>310</v>
      </c>
      <c r="G114" s="5">
        <v>41820</v>
      </c>
      <c r="H114" s="3"/>
      <c r="I114" s="49" t="s">
        <v>310</v>
      </c>
      <c r="J114" s="49" t="s">
        <v>310</v>
      </c>
      <c r="K114" s="49" t="s">
        <v>310</v>
      </c>
      <c r="L114" s="69"/>
      <c r="M114" s="56"/>
      <c r="N114" s="56"/>
      <c r="O114" s="56"/>
      <c r="T114" s="78"/>
    </row>
    <row r="115" spans="1:20" s="10" customFormat="1" ht="90" x14ac:dyDescent="0.2">
      <c r="A115" s="1"/>
      <c r="B115" s="30" t="s">
        <v>121</v>
      </c>
      <c r="C115" s="28" t="s">
        <v>2</v>
      </c>
      <c r="D115" s="63" t="s">
        <v>305</v>
      </c>
      <c r="E115" s="3" t="s">
        <v>310</v>
      </c>
      <c r="F115" s="3" t="s">
        <v>310</v>
      </c>
      <c r="G115" s="5">
        <v>42185</v>
      </c>
      <c r="H115" s="3"/>
      <c r="I115" s="49" t="s">
        <v>310</v>
      </c>
      <c r="J115" s="49" t="s">
        <v>310</v>
      </c>
      <c r="K115" s="49" t="s">
        <v>310</v>
      </c>
      <c r="L115" s="69"/>
      <c r="M115" s="56"/>
      <c r="N115" s="56"/>
      <c r="O115" s="56"/>
      <c r="T115" s="78"/>
    </row>
    <row r="116" spans="1:20" s="10" customFormat="1" ht="90" x14ac:dyDescent="0.2">
      <c r="A116" s="1"/>
      <c r="B116" s="30" t="s">
        <v>122</v>
      </c>
      <c r="C116" s="28" t="s">
        <v>2</v>
      </c>
      <c r="D116" s="63" t="s">
        <v>305</v>
      </c>
      <c r="E116" s="3" t="s">
        <v>310</v>
      </c>
      <c r="F116" s="3" t="s">
        <v>310</v>
      </c>
      <c r="G116" s="5">
        <v>42551</v>
      </c>
      <c r="H116" s="3"/>
      <c r="I116" s="49" t="s">
        <v>310</v>
      </c>
      <c r="J116" s="49" t="s">
        <v>310</v>
      </c>
      <c r="K116" s="49" t="s">
        <v>310</v>
      </c>
      <c r="L116" s="69"/>
      <c r="M116" s="56"/>
      <c r="N116" s="56"/>
      <c r="O116" s="56"/>
      <c r="T116" s="78"/>
    </row>
    <row r="117" spans="1:20" s="10" customFormat="1" ht="61.5" customHeight="1" x14ac:dyDescent="0.2">
      <c r="A117" s="1"/>
      <c r="B117" s="29" t="s">
        <v>123</v>
      </c>
      <c r="C117" s="28"/>
      <c r="D117" s="114" t="s">
        <v>305</v>
      </c>
      <c r="E117" s="5">
        <v>41640</v>
      </c>
      <c r="F117" s="3"/>
      <c r="G117" s="5">
        <v>42004</v>
      </c>
      <c r="H117" s="3"/>
      <c r="I117" s="6">
        <f>I118+I119</f>
        <v>31843.483199999999</v>
      </c>
      <c r="J117" s="6">
        <f t="shared" ref="J117:K117" si="21">J118+J119</f>
        <v>5186</v>
      </c>
      <c r="K117" s="34">
        <f t="shared" si="21"/>
        <v>0</v>
      </c>
      <c r="L117" s="69"/>
      <c r="M117" s="56"/>
      <c r="N117" s="56"/>
      <c r="O117" s="56"/>
      <c r="T117" s="78"/>
    </row>
    <row r="118" spans="1:20" s="10" customFormat="1" ht="45" x14ac:dyDescent="0.2">
      <c r="A118" s="1"/>
      <c r="B118" s="28" t="s">
        <v>124</v>
      </c>
      <c r="C118" s="28"/>
      <c r="D118" s="114"/>
      <c r="E118" s="5">
        <v>41640</v>
      </c>
      <c r="F118" s="5">
        <v>41640</v>
      </c>
      <c r="G118" s="5">
        <v>42004</v>
      </c>
      <c r="H118" s="3"/>
      <c r="I118" s="49">
        <f>24776483.2/1000</f>
        <v>24776.483199999999</v>
      </c>
      <c r="J118" s="41">
        <v>4478</v>
      </c>
      <c r="K118" s="50">
        <v>0</v>
      </c>
      <c r="L118" s="70" t="s">
        <v>314</v>
      </c>
      <c r="M118" s="48" t="s">
        <v>315</v>
      </c>
      <c r="N118" s="48" t="s">
        <v>343</v>
      </c>
      <c r="O118" s="56"/>
      <c r="T118" s="78"/>
    </row>
    <row r="119" spans="1:20" s="10" customFormat="1" ht="46.5" customHeight="1" x14ac:dyDescent="0.2">
      <c r="A119" s="1"/>
      <c r="B119" s="28" t="s">
        <v>125</v>
      </c>
      <c r="C119" s="28"/>
      <c r="D119" s="114"/>
      <c r="E119" s="5">
        <v>41640</v>
      </c>
      <c r="F119" s="5">
        <v>41699</v>
      </c>
      <c r="G119" s="5">
        <v>42004</v>
      </c>
      <c r="H119" s="3"/>
      <c r="I119" s="49">
        <f>7067000/1000</f>
        <v>7067</v>
      </c>
      <c r="J119" s="41">
        <v>708</v>
      </c>
      <c r="K119" s="50">
        <v>0</v>
      </c>
      <c r="L119" s="70" t="s">
        <v>314</v>
      </c>
      <c r="M119" s="48" t="s">
        <v>315</v>
      </c>
      <c r="N119" s="48" t="s">
        <v>344</v>
      </c>
      <c r="O119" s="56"/>
      <c r="T119" s="78"/>
    </row>
    <row r="120" spans="1:20" s="10" customFormat="1" ht="90" x14ac:dyDescent="0.2">
      <c r="A120" s="1"/>
      <c r="B120" s="30" t="s">
        <v>126</v>
      </c>
      <c r="C120" s="28"/>
      <c r="D120" s="63" t="s">
        <v>305</v>
      </c>
      <c r="E120" s="3" t="s">
        <v>310</v>
      </c>
      <c r="F120" s="3" t="s">
        <v>310</v>
      </c>
      <c r="G120" s="5">
        <v>42004</v>
      </c>
      <c r="H120" s="3"/>
      <c r="I120" s="49" t="s">
        <v>310</v>
      </c>
      <c r="J120" s="49" t="s">
        <v>310</v>
      </c>
      <c r="K120" s="49" t="s">
        <v>310</v>
      </c>
      <c r="L120" s="69"/>
      <c r="M120" s="56"/>
      <c r="N120" s="56"/>
      <c r="O120" s="56"/>
      <c r="T120" s="78"/>
    </row>
    <row r="121" spans="1:20" s="10" customFormat="1" ht="57" x14ac:dyDescent="0.2">
      <c r="A121" s="1"/>
      <c r="B121" s="29" t="s">
        <v>127</v>
      </c>
      <c r="C121" s="28"/>
      <c r="D121" s="114" t="s">
        <v>305</v>
      </c>
      <c r="E121" s="5">
        <v>41640</v>
      </c>
      <c r="F121" s="3"/>
      <c r="G121" s="5">
        <v>42735</v>
      </c>
      <c r="H121" s="3"/>
      <c r="I121" s="6">
        <f>SUM(I122:I123)</f>
        <v>14020.95</v>
      </c>
      <c r="J121" s="6">
        <f t="shared" ref="J121:K121" si="22">SUM(J122:J123)</f>
        <v>3010.95</v>
      </c>
      <c r="K121" s="34">
        <f t="shared" si="22"/>
        <v>0</v>
      </c>
      <c r="L121" s="69"/>
      <c r="M121" s="56"/>
      <c r="N121" s="56"/>
      <c r="O121" s="56"/>
      <c r="T121" s="78"/>
    </row>
    <row r="122" spans="1:20" s="10" customFormat="1" ht="60" x14ac:dyDescent="0.2">
      <c r="A122" s="1"/>
      <c r="B122" s="28" t="s">
        <v>128</v>
      </c>
      <c r="C122" s="28"/>
      <c r="D122" s="114"/>
      <c r="E122" s="5">
        <v>41640</v>
      </c>
      <c r="F122" s="5">
        <v>41640</v>
      </c>
      <c r="G122" s="5">
        <v>42735</v>
      </c>
      <c r="H122" s="3"/>
      <c r="I122" s="49">
        <f>14020950/1000</f>
        <v>14020.95</v>
      </c>
      <c r="J122" s="49">
        <v>3010.95</v>
      </c>
      <c r="K122" s="50">
        <v>0</v>
      </c>
      <c r="L122" s="70" t="s">
        <v>340</v>
      </c>
      <c r="M122" s="56"/>
      <c r="N122" s="56"/>
      <c r="O122" s="56"/>
      <c r="T122" s="78"/>
    </row>
    <row r="123" spans="1:20" s="10" customFormat="1" ht="45" x14ac:dyDescent="0.2">
      <c r="A123" s="1"/>
      <c r="B123" s="28" t="s">
        <v>129</v>
      </c>
      <c r="C123" s="28"/>
      <c r="D123" s="114"/>
      <c r="E123" s="5">
        <v>41640</v>
      </c>
      <c r="F123" s="5">
        <v>41640</v>
      </c>
      <c r="G123" s="5">
        <v>42735</v>
      </c>
      <c r="H123" s="3"/>
      <c r="I123" s="49">
        <v>0</v>
      </c>
      <c r="J123" s="49">
        <v>0</v>
      </c>
      <c r="K123" s="50">
        <v>0</v>
      </c>
      <c r="L123" s="70" t="s">
        <v>340</v>
      </c>
      <c r="M123" s="56"/>
      <c r="N123" s="56"/>
      <c r="O123" s="56"/>
      <c r="T123" s="78"/>
    </row>
    <row r="124" spans="1:20" s="10" customFormat="1" ht="90" x14ac:dyDescent="0.2">
      <c r="A124" s="1"/>
      <c r="B124" s="30" t="s">
        <v>130</v>
      </c>
      <c r="C124" s="28"/>
      <c r="D124" s="63" t="s">
        <v>305</v>
      </c>
      <c r="E124" s="3" t="s">
        <v>310</v>
      </c>
      <c r="F124" s="3" t="s">
        <v>310</v>
      </c>
      <c r="G124" s="5">
        <v>42004</v>
      </c>
      <c r="H124" s="3"/>
      <c r="I124" s="49" t="s">
        <v>310</v>
      </c>
      <c r="J124" s="49" t="s">
        <v>310</v>
      </c>
      <c r="K124" s="49" t="s">
        <v>310</v>
      </c>
      <c r="L124" s="69"/>
      <c r="M124" s="56"/>
      <c r="N124" s="56"/>
      <c r="O124" s="56"/>
      <c r="T124" s="78"/>
    </row>
    <row r="125" spans="1:20" s="10" customFormat="1" ht="90" x14ac:dyDescent="0.2">
      <c r="A125" s="1"/>
      <c r="B125" s="30" t="s">
        <v>131</v>
      </c>
      <c r="C125" s="28"/>
      <c r="D125" s="63" t="s">
        <v>305</v>
      </c>
      <c r="E125" s="3" t="s">
        <v>310</v>
      </c>
      <c r="F125" s="3" t="s">
        <v>310</v>
      </c>
      <c r="G125" s="5">
        <v>42369</v>
      </c>
      <c r="H125" s="3"/>
      <c r="I125" s="49" t="s">
        <v>310</v>
      </c>
      <c r="J125" s="49" t="s">
        <v>310</v>
      </c>
      <c r="K125" s="49" t="s">
        <v>310</v>
      </c>
      <c r="L125" s="69"/>
      <c r="M125" s="56"/>
      <c r="N125" s="56"/>
      <c r="O125" s="56"/>
      <c r="T125" s="78"/>
    </row>
    <row r="126" spans="1:20" s="10" customFormat="1" ht="90" x14ac:dyDescent="0.2">
      <c r="A126" s="1"/>
      <c r="B126" s="30" t="s">
        <v>132</v>
      </c>
      <c r="C126" s="28"/>
      <c r="D126" s="63" t="s">
        <v>305</v>
      </c>
      <c r="E126" s="3" t="s">
        <v>310</v>
      </c>
      <c r="F126" s="3" t="s">
        <v>310</v>
      </c>
      <c r="G126" s="5">
        <v>42735</v>
      </c>
      <c r="H126" s="3"/>
      <c r="I126" s="49" t="s">
        <v>310</v>
      </c>
      <c r="J126" s="49" t="s">
        <v>310</v>
      </c>
      <c r="K126" s="49" t="s">
        <v>310</v>
      </c>
      <c r="L126" s="69"/>
      <c r="M126" s="56"/>
      <c r="N126" s="56"/>
      <c r="O126" s="56"/>
      <c r="T126" s="78"/>
    </row>
    <row r="127" spans="1:20" s="10" customFormat="1" ht="42.75" customHeight="1" x14ac:dyDescent="0.2">
      <c r="A127" s="1"/>
      <c r="B127" s="29" t="s">
        <v>133</v>
      </c>
      <c r="C127" s="28"/>
      <c r="D127" s="141" t="s">
        <v>305</v>
      </c>
      <c r="E127" s="5">
        <v>41640</v>
      </c>
      <c r="F127" s="3"/>
      <c r="G127" s="5">
        <v>42004</v>
      </c>
      <c r="H127" s="3"/>
      <c r="I127" s="6">
        <f>I128+I129</f>
        <v>31342.615379999999</v>
      </c>
      <c r="J127" s="6">
        <f t="shared" ref="J127:K127" si="23">J128+J129</f>
        <v>4200</v>
      </c>
      <c r="K127" s="6">
        <f t="shared" si="23"/>
        <v>4796.5600000000004</v>
      </c>
      <c r="L127" s="69"/>
      <c r="M127" s="56"/>
      <c r="N127" s="56"/>
      <c r="O127" s="56"/>
      <c r="T127" s="78"/>
    </row>
    <row r="128" spans="1:20" s="40" customFormat="1" ht="51" customHeight="1" x14ac:dyDescent="0.2">
      <c r="A128" s="3"/>
      <c r="B128" s="39" t="s">
        <v>134</v>
      </c>
      <c r="C128" s="39"/>
      <c r="D128" s="142"/>
      <c r="E128" s="5">
        <v>41640</v>
      </c>
      <c r="F128" s="3"/>
      <c r="G128" s="5">
        <v>42004</v>
      </c>
      <c r="H128" s="3"/>
      <c r="I128" s="49">
        <f>31342615.38/1000</f>
        <v>31342.615379999999</v>
      </c>
      <c r="J128" s="38">
        <v>4200</v>
      </c>
      <c r="K128" s="50">
        <v>4796.5600000000004</v>
      </c>
      <c r="L128" s="70" t="s">
        <v>314</v>
      </c>
      <c r="M128" s="48" t="s">
        <v>315</v>
      </c>
      <c r="N128" s="48" t="s">
        <v>324</v>
      </c>
      <c r="O128" s="56"/>
      <c r="T128" s="78"/>
    </row>
    <row r="129" spans="1:20" s="10" customFormat="1" ht="75" x14ac:dyDescent="0.2">
      <c r="A129" s="1"/>
      <c r="B129" s="28" t="s">
        <v>135</v>
      </c>
      <c r="C129" s="28"/>
      <c r="D129" s="143"/>
      <c r="E129" s="5">
        <v>41640</v>
      </c>
      <c r="F129" s="3"/>
      <c r="G129" s="5">
        <v>42004</v>
      </c>
      <c r="H129" s="3"/>
      <c r="I129" s="49">
        <v>0</v>
      </c>
      <c r="J129" s="49">
        <v>0</v>
      </c>
      <c r="K129" s="50">
        <v>0</v>
      </c>
      <c r="L129" s="69"/>
      <c r="M129" s="56"/>
      <c r="N129" s="56"/>
      <c r="O129" s="56"/>
      <c r="T129" s="78"/>
    </row>
    <row r="130" spans="1:20" s="10" customFormat="1" ht="90" x14ac:dyDescent="0.2">
      <c r="A130" s="1"/>
      <c r="B130" s="30" t="s">
        <v>136</v>
      </c>
      <c r="C130" s="28"/>
      <c r="D130" s="63" t="s">
        <v>305</v>
      </c>
      <c r="E130" s="3" t="s">
        <v>310</v>
      </c>
      <c r="F130" s="3" t="s">
        <v>310</v>
      </c>
      <c r="G130" s="5">
        <v>42004</v>
      </c>
      <c r="H130" s="3"/>
      <c r="I130" s="49" t="s">
        <v>310</v>
      </c>
      <c r="J130" s="49" t="s">
        <v>310</v>
      </c>
      <c r="K130" s="49" t="s">
        <v>310</v>
      </c>
      <c r="L130" s="69"/>
      <c r="M130" s="56"/>
      <c r="N130" s="56"/>
      <c r="O130" s="56"/>
      <c r="T130" s="78"/>
    </row>
    <row r="131" spans="1:20" s="10" customFormat="1" ht="28.5" x14ac:dyDescent="0.2">
      <c r="A131" s="1"/>
      <c r="B131" s="29" t="s">
        <v>137</v>
      </c>
      <c r="C131" s="28"/>
      <c r="D131" s="114" t="s">
        <v>305</v>
      </c>
      <c r="E131" s="5">
        <v>41640</v>
      </c>
      <c r="F131" s="3"/>
      <c r="G131" s="5">
        <v>42735</v>
      </c>
      <c r="H131" s="3"/>
      <c r="I131" s="6">
        <f>I132+I133</f>
        <v>5723.3083200000001</v>
      </c>
      <c r="J131" s="6">
        <f t="shared" ref="J131:K131" si="24">J132+J133</f>
        <v>1440</v>
      </c>
      <c r="K131" s="6">
        <f t="shared" si="24"/>
        <v>0</v>
      </c>
      <c r="L131" s="69"/>
      <c r="M131" s="56"/>
      <c r="N131" s="56"/>
      <c r="O131" s="56"/>
      <c r="T131" s="78"/>
    </row>
    <row r="132" spans="1:20" s="10" customFormat="1" ht="30" x14ac:dyDescent="0.2">
      <c r="A132" s="1"/>
      <c r="B132" s="28" t="s">
        <v>138</v>
      </c>
      <c r="C132" s="28"/>
      <c r="D132" s="114"/>
      <c r="E132" s="5">
        <v>41640</v>
      </c>
      <c r="F132" s="5">
        <v>41640</v>
      </c>
      <c r="G132" s="5">
        <v>42735</v>
      </c>
      <c r="H132" s="3"/>
      <c r="I132" s="49">
        <f>5723308.32/1000</f>
        <v>5723.3083200000001</v>
      </c>
      <c r="J132" s="49">
        <v>1440</v>
      </c>
      <c r="K132" s="50">
        <v>0</v>
      </c>
      <c r="L132" s="70" t="s">
        <v>340</v>
      </c>
      <c r="M132" s="56"/>
      <c r="N132" s="56"/>
      <c r="O132" s="56"/>
      <c r="T132" s="78"/>
    </row>
    <row r="133" spans="1:20" s="10" customFormat="1" ht="30" x14ac:dyDescent="0.2">
      <c r="A133" s="1"/>
      <c r="B133" s="28" t="s">
        <v>362</v>
      </c>
      <c r="C133" s="28"/>
      <c r="D133" s="114"/>
      <c r="E133" s="5">
        <v>41640</v>
      </c>
      <c r="F133" s="5">
        <v>41640</v>
      </c>
      <c r="G133" s="5">
        <v>42735</v>
      </c>
      <c r="H133" s="3"/>
      <c r="I133" s="49">
        <v>0</v>
      </c>
      <c r="J133" s="49">
        <v>0</v>
      </c>
      <c r="K133" s="50">
        <v>0</v>
      </c>
      <c r="L133" s="69"/>
      <c r="M133" s="56"/>
      <c r="N133" s="56"/>
      <c r="O133" s="56"/>
      <c r="T133" s="78"/>
    </row>
    <row r="134" spans="1:20" s="10" customFormat="1" ht="93" customHeight="1" x14ac:dyDescent="0.2">
      <c r="A134" s="1"/>
      <c r="B134" s="30" t="s">
        <v>139</v>
      </c>
      <c r="C134" s="28"/>
      <c r="D134" s="63" t="s">
        <v>305</v>
      </c>
      <c r="E134" s="3" t="s">
        <v>310</v>
      </c>
      <c r="F134" s="3" t="s">
        <v>310</v>
      </c>
      <c r="G134" s="5">
        <v>42004</v>
      </c>
      <c r="H134" s="3"/>
      <c r="I134" s="49" t="s">
        <v>310</v>
      </c>
      <c r="J134" s="49" t="s">
        <v>310</v>
      </c>
      <c r="K134" s="49" t="s">
        <v>310</v>
      </c>
      <c r="L134" s="69"/>
      <c r="M134" s="56"/>
      <c r="N134" s="56"/>
      <c r="O134" s="56"/>
      <c r="T134" s="78"/>
    </row>
    <row r="135" spans="1:20" s="10" customFormat="1" ht="90" customHeight="1" x14ac:dyDescent="0.2">
      <c r="A135" s="1"/>
      <c r="B135" s="30" t="s">
        <v>140</v>
      </c>
      <c r="C135" s="28"/>
      <c r="D135" s="63" t="s">
        <v>305</v>
      </c>
      <c r="E135" s="3" t="s">
        <v>310</v>
      </c>
      <c r="F135" s="3" t="s">
        <v>310</v>
      </c>
      <c r="G135" s="5">
        <v>42369</v>
      </c>
      <c r="H135" s="3"/>
      <c r="I135" s="49" t="s">
        <v>310</v>
      </c>
      <c r="J135" s="49" t="s">
        <v>310</v>
      </c>
      <c r="K135" s="49" t="s">
        <v>310</v>
      </c>
      <c r="L135" s="69"/>
      <c r="M135" s="56"/>
      <c r="N135" s="56"/>
      <c r="O135" s="56"/>
      <c r="T135" s="78"/>
    </row>
    <row r="136" spans="1:20" s="10" customFormat="1" ht="97.5" customHeight="1" x14ac:dyDescent="0.2">
      <c r="A136" s="1"/>
      <c r="B136" s="30" t="s">
        <v>141</v>
      </c>
      <c r="C136" s="28"/>
      <c r="D136" s="63" t="s">
        <v>305</v>
      </c>
      <c r="E136" s="3" t="s">
        <v>310</v>
      </c>
      <c r="F136" s="3" t="s">
        <v>310</v>
      </c>
      <c r="G136" s="5">
        <v>42735</v>
      </c>
      <c r="H136" s="3"/>
      <c r="I136" s="49" t="s">
        <v>310</v>
      </c>
      <c r="J136" s="49" t="s">
        <v>310</v>
      </c>
      <c r="K136" s="49" t="s">
        <v>310</v>
      </c>
      <c r="L136" s="69"/>
      <c r="M136" s="56"/>
      <c r="N136" s="56"/>
      <c r="O136" s="56"/>
      <c r="T136" s="78"/>
    </row>
    <row r="137" spans="1:20" s="10" customFormat="1" ht="42.75" x14ac:dyDescent="0.2">
      <c r="A137" s="1"/>
      <c r="B137" s="29" t="s">
        <v>142</v>
      </c>
      <c r="C137" s="28"/>
      <c r="D137" s="114" t="s">
        <v>305</v>
      </c>
      <c r="E137" s="5">
        <v>41640</v>
      </c>
      <c r="F137" s="3"/>
      <c r="G137" s="5">
        <v>42004</v>
      </c>
      <c r="H137" s="3"/>
      <c r="I137" s="6">
        <f>I138+I139</f>
        <v>6492.8729999999996</v>
      </c>
      <c r="J137" s="6">
        <f t="shared" ref="J137:K137" si="25">J138+J139</f>
        <v>1734</v>
      </c>
      <c r="K137" s="6">
        <f t="shared" si="25"/>
        <v>360.22</v>
      </c>
      <c r="L137" s="69"/>
      <c r="M137" s="56"/>
      <c r="N137" s="56"/>
      <c r="O137" s="56"/>
      <c r="T137" s="78"/>
    </row>
    <row r="138" spans="1:20" s="10" customFormat="1" ht="51" customHeight="1" x14ac:dyDescent="0.2">
      <c r="A138" s="1"/>
      <c r="B138" s="28" t="s">
        <v>363</v>
      </c>
      <c r="C138" s="28"/>
      <c r="D138" s="114"/>
      <c r="E138" s="5">
        <v>41640</v>
      </c>
      <c r="F138" s="3"/>
      <c r="G138" s="5">
        <v>42004</v>
      </c>
      <c r="H138" s="3"/>
      <c r="I138" s="49">
        <f>6492873/1000</f>
        <v>6492.8729999999996</v>
      </c>
      <c r="J138" s="38">
        <v>1734</v>
      </c>
      <c r="K138" s="50">
        <v>360.22</v>
      </c>
      <c r="L138" s="70" t="s">
        <v>314</v>
      </c>
      <c r="M138" s="48" t="s">
        <v>315</v>
      </c>
      <c r="N138" s="48" t="s">
        <v>325</v>
      </c>
      <c r="O138" s="56"/>
      <c r="T138" s="78"/>
    </row>
    <row r="139" spans="1:20" s="10" customFormat="1" ht="96" customHeight="1" x14ac:dyDescent="0.2">
      <c r="A139" s="1"/>
      <c r="B139" s="28" t="s">
        <v>143</v>
      </c>
      <c r="C139" s="28"/>
      <c r="D139" s="63" t="s">
        <v>305</v>
      </c>
      <c r="E139" s="5">
        <v>41640</v>
      </c>
      <c r="F139" s="3"/>
      <c r="G139" s="5">
        <v>42004</v>
      </c>
      <c r="H139" s="3"/>
      <c r="I139" s="49">
        <v>0</v>
      </c>
      <c r="J139" s="49">
        <v>0</v>
      </c>
      <c r="K139" s="50">
        <v>0</v>
      </c>
      <c r="L139" s="69"/>
      <c r="M139" s="56"/>
      <c r="N139" s="56"/>
      <c r="O139" s="56"/>
      <c r="T139" s="78"/>
    </row>
    <row r="140" spans="1:20" s="10" customFormat="1" ht="46.5" customHeight="1" x14ac:dyDescent="0.2">
      <c r="A140" s="1"/>
      <c r="B140" s="29" t="s">
        <v>144</v>
      </c>
      <c r="C140" s="28"/>
      <c r="D140" s="114" t="s">
        <v>308</v>
      </c>
      <c r="E140" s="5">
        <v>41640</v>
      </c>
      <c r="F140" s="3"/>
      <c r="G140" s="5">
        <v>42004</v>
      </c>
      <c r="H140" s="3"/>
      <c r="I140" s="6">
        <f>I141+I142</f>
        <v>13991.6</v>
      </c>
      <c r="J140" s="6">
        <f t="shared" ref="J140:K140" si="26">J141+J142</f>
        <v>0</v>
      </c>
      <c r="K140" s="6">
        <f t="shared" si="26"/>
        <v>0</v>
      </c>
      <c r="L140" s="69"/>
      <c r="M140" s="56"/>
      <c r="N140" s="56"/>
      <c r="O140" s="56"/>
      <c r="T140" s="78"/>
    </row>
    <row r="141" spans="1:20" s="10" customFormat="1" ht="53.25" customHeight="1" x14ac:dyDescent="0.2">
      <c r="A141" s="1"/>
      <c r="B141" s="28" t="s">
        <v>145</v>
      </c>
      <c r="C141" s="28"/>
      <c r="D141" s="114"/>
      <c r="E141" s="5">
        <v>41640</v>
      </c>
      <c r="F141" s="5">
        <v>41640</v>
      </c>
      <c r="G141" s="5">
        <v>42004</v>
      </c>
      <c r="H141" s="3"/>
      <c r="I141" s="49">
        <f>13991600/1000</f>
        <v>13991.6</v>
      </c>
      <c r="J141" s="49">
        <v>0</v>
      </c>
      <c r="K141" s="50">
        <v>0</v>
      </c>
      <c r="L141" s="69"/>
      <c r="M141" s="56"/>
      <c r="N141" s="56"/>
      <c r="O141" s="56"/>
      <c r="P141" s="126"/>
      <c r="T141" s="78"/>
    </row>
    <row r="142" spans="1:20" s="10" customFormat="1" ht="45" x14ac:dyDescent="0.2">
      <c r="A142" s="1"/>
      <c r="B142" s="32" t="s">
        <v>146</v>
      </c>
      <c r="C142" s="32"/>
      <c r="D142" s="114"/>
      <c r="E142" s="5">
        <v>41640</v>
      </c>
      <c r="F142" s="5">
        <v>41640</v>
      </c>
      <c r="G142" s="5">
        <v>42004</v>
      </c>
      <c r="H142" s="3"/>
      <c r="I142" s="23">
        <v>0</v>
      </c>
      <c r="J142" s="49">
        <v>0</v>
      </c>
      <c r="K142" s="50">
        <v>0</v>
      </c>
      <c r="L142" s="69"/>
      <c r="M142" s="56"/>
      <c r="N142" s="56"/>
      <c r="O142" s="56"/>
      <c r="P142" s="126"/>
      <c r="T142" s="78"/>
    </row>
    <row r="143" spans="1:20" s="10" customFormat="1" ht="123.75" customHeight="1" x14ac:dyDescent="0.2">
      <c r="A143" s="1"/>
      <c r="B143" s="30" t="s">
        <v>147</v>
      </c>
      <c r="C143" s="28" t="s">
        <v>2</v>
      </c>
      <c r="D143" s="63" t="s">
        <v>309</v>
      </c>
      <c r="E143" s="3" t="s">
        <v>310</v>
      </c>
      <c r="F143" s="3" t="s">
        <v>310</v>
      </c>
      <c r="G143" s="5">
        <v>42004</v>
      </c>
      <c r="H143" s="3"/>
      <c r="I143" s="49" t="s">
        <v>310</v>
      </c>
      <c r="J143" s="49" t="s">
        <v>310</v>
      </c>
      <c r="K143" s="49" t="s">
        <v>310</v>
      </c>
      <c r="L143" s="69"/>
      <c r="M143" s="56"/>
      <c r="N143" s="56"/>
      <c r="O143" s="56"/>
      <c r="T143" s="78"/>
    </row>
    <row r="144" spans="1:20" s="10" customFormat="1" ht="71.25" x14ac:dyDescent="0.2">
      <c r="A144" s="1"/>
      <c r="B144" s="29" t="s">
        <v>148</v>
      </c>
      <c r="C144" s="28"/>
      <c r="D144" s="114" t="s">
        <v>305</v>
      </c>
      <c r="E144" s="5">
        <v>41640</v>
      </c>
      <c r="F144" s="3"/>
      <c r="G144" s="5">
        <v>42735</v>
      </c>
      <c r="H144" s="3"/>
      <c r="I144" s="6">
        <f>I145+I146</f>
        <v>739.60482999999999</v>
      </c>
      <c r="J144" s="6">
        <f t="shared" ref="J144:K144" si="27">J145+J146</f>
        <v>275.10000000000002</v>
      </c>
      <c r="K144" s="6">
        <f t="shared" si="27"/>
        <v>0</v>
      </c>
      <c r="L144" s="69"/>
      <c r="M144" s="56"/>
      <c r="N144" s="56"/>
      <c r="O144" s="56"/>
      <c r="T144" s="78"/>
    </row>
    <row r="145" spans="1:20" ht="75" x14ac:dyDescent="0.2">
      <c r="A145" s="3"/>
      <c r="B145" s="39" t="s">
        <v>149</v>
      </c>
      <c r="C145" s="39"/>
      <c r="D145" s="114"/>
      <c r="E145" s="5">
        <v>41640</v>
      </c>
      <c r="F145" s="5">
        <v>41640</v>
      </c>
      <c r="G145" s="5">
        <v>42735</v>
      </c>
      <c r="H145" s="3"/>
      <c r="I145" s="49">
        <f>739604.83/1000</f>
        <v>739.60482999999999</v>
      </c>
      <c r="J145" s="49">
        <v>275.10000000000002</v>
      </c>
      <c r="K145" s="50">
        <v>0</v>
      </c>
      <c r="L145" s="70" t="s">
        <v>341</v>
      </c>
      <c r="M145" s="48" t="s">
        <v>350</v>
      </c>
      <c r="N145" s="48" t="s">
        <v>349</v>
      </c>
      <c r="O145" s="48"/>
      <c r="T145" s="78"/>
    </row>
    <row r="146" spans="1:20" s="10" customFormat="1" ht="60" x14ac:dyDescent="0.2">
      <c r="A146" s="1"/>
      <c r="B146" s="28" t="s">
        <v>150</v>
      </c>
      <c r="C146" s="28"/>
      <c r="D146" s="114"/>
      <c r="E146" s="5">
        <v>41640</v>
      </c>
      <c r="F146" s="5">
        <v>41640</v>
      </c>
      <c r="G146" s="5">
        <v>42735</v>
      </c>
      <c r="H146" s="3"/>
      <c r="I146" s="49">
        <v>0</v>
      </c>
      <c r="J146" s="49">
        <v>0</v>
      </c>
      <c r="K146" s="50">
        <v>0</v>
      </c>
      <c r="L146" s="70"/>
      <c r="M146" s="56"/>
      <c r="N146" s="56"/>
      <c r="O146" s="56"/>
      <c r="T146" s="78"/>
    </row>
    <row r="147" spans="1:20" s="10" customFormat="1" ht="96" customHeight="1" x14ac:dyDescent="0.2">
      <c r="A147" s="1"/>
      <c r="B147" s="30" t="s">
        <v>151</v>
      </c>
      <c r="C147" s="28"/>
      <c r="D147" s="63" t="s">
        <v>305</v>
      </c>
      <c r="E147" s="3" t="s">
        <v>310</v>
      </c>
      <c r="F147" s="3" t="s">
        <v>310</v>
      </c>
      <c r="G147" s="5">
        <v>42004</v>
      </c>
      <c r="H147" s="3"/>
      <c r="I147" s="49" t="s">
        <v>310</v>
      </c>
      <c r="J147" s="49" t="s">
        <v>310</v>
      </c>
      <c r="K147" s="49" t="s">
        <v>310</v>
      </c>
      <c r="L147" s="69"/>
      <c r="M147" s="56"/>
      <c r="N147" s="56"/>
      <c r="O147" s="56"/>
      <c r="T147" s="78"/>
    </row>
    <row r="148" spans="1:20" s="10" customFormat="1" ht="98.25" customHeight="1" x14ac:dyDescent="0.2">
      <c r="A148" s="1"/>
      <c r="B148" s="30" t="s">
        <v>152</v>
      </c>
      <c r="C148" s="28"/>
      <c r="D148" s="63" t="s">
        <v>305</v>
      </c>
      <c r="E148" s="3" t="s">
        <v>310</v>
      </c>
      <c r="F148" s="3" t="s">
        <v>310</v>
      </c>
      <c r="G148" s="5">
        <v>42369</v>
      </c>
      <c r="H148" s="3"/>
      <c r="I148" s="49" t="s">
        <v>310</v>
      </c>
      <c r="J148" s="49" t="s">
        <v>310</v>
      </c>
      <c r="K148" s="49" t="s">
        <v>310</v>
      </c>
      <c r="L148" s="69"/>
      <c r="M148" s="56"/>
      <c r="N148" s="56"/>
      <c r="O148" s="56"/>
      <c r="T148" s="78"/>
    </row>
    <row r="149" spans="1:20" s="10" customFormat="1" ht="95.25" customHeight="1" x14ac:dyDescent="0.2">
      <c r="A149" s="1"/>
      <c r="B149" s="30" t="s">
        <v>153</v>
      </c>
      <c r="C149" s="28"/>
      <c r="D149" s="63" t="s">
        <v>305</v>
      </c>
      <c r="E149" s="3" t="s">
        <v>310</v>
      </c>
      <c r="F149" s="3" t="s">
        <v>310</v>
      </c>
      <c r="G149" s="5">
        <v>42735</v>
      </c>
      <c r="H149" s="3"/>
      <c r="I149" s="49" t="s">
        <v>310</v>
      </c>
      <c r="J149" s="49" t="s">
        <v>310</v>
      </c>
      <c r="K149" s="49" t="s">
        <v>310</v>
      </c>
      <c r="L149" s="69"/>
      <c r="M149" s="56"/>
      <c r="N149" s="56"/>
      <c r="O149" s="56"/>
      <c r="T149" s="78"/>
    </row>
    <row r="150" spans="1:20" s="10" customFormat="1" ht="90.75" customHeight="1" x14ac:dyDescent="0.2">
      <c r="A150" s="1"/>
      <c r="B150" s="29" t="s">
        <v>154</v>
      </c>
      <c r="C150" s="28"/>
      <c r="D150" s="114" t="s">
        <v>305</v>
      </c>
      <c r="E150" s="5">
        <v>41640</v>
      </c>
      <c r="F150" s="3"/>
      <c r="G150" s="5">
        <v>42735</v>
      </c>
      <c r="H150" s="3"/>
      <c r="I150" s="6">
        <f>I151+I152</f>
        <v>3661.4</v>
      </c>
      <c r="J150" s="6">
        <f t="shared" ref="J150:K150" si="28">J151+J152</f>
        <v>930</v>
      </c>
      <c r="K150" s="6">
        <f t="shared" si="28"/>
        <v>0</v>
      </c>
      <c r="L150" s="69"/>
      <c r="M150" s="56"/>
      <c r="N150" s="56"/>
      <c r="O150" s="56"/>
      <c r="T150" s="78"/>
    </row>
    <row r="151" spans="1:20" s="10" customFormat="1" ht="90" x14ac:dyDescent="0.2">
      <c r="A151" s="1"/>
      <c r="B151" s="28" t="s">
        <v>155</v>
      </c>
      <c r="C151" s="28"/>
      <c r="D151" s="114"/>
      <c r="E151" s="5">
        <v>41640</v>
      </c>
      <c r="F151" s="5">
        <v>41640</v>
      </c>
      <c r="G151" s="5">
        <v>42735</v>
      </c>
      <c r="H151" s="3"/>
      <c r="I151" s="49">
        <v>3661.4</v>
      </c>
      <c r="J151" s="41">
        <v>930</v>
      </c>
      <c r="K151" s="50">
        <v>0</v>
      </c>
      <c r="L151" s="70" t="s">
        <v>314</v>
      </c>
      <c r="M151" s="48" t="s">
        <v>315</v>
      </c>
      <c r="N151" s="48" t="s">
        <v>321</v>
      </c>
      <c r="O151" s="48"/>
      <c r="T151" s="78"/>
    </row>
    <row r="152" spans="1:20" s="10" customFormat="1" ht="60" x14ac:dyDescent="0.2">
      <c r="A152" s="1"/>
      <c r="B152" s="28" t="s">
        <v>156</v>
      </c>
      <c r="C152" s="28"/>
      <c r="D152" s="114"/>
      <c r="E152" s="5">
        <v>41640</v>
      </c>
      <c r="F152" s="3"/>
      <c r="G152" s="5">
        <v>42735</v>
      </c>
      <c r="H152" s="3"/>
      <c r="I152" s="49">
        <v>0</v>
      </c>
      <c r="J152" s="49">
        <v>0</v>
      </c>
      <c r="K152" s="50">
        <v>0</v>
      </c>
      <c r="L152" s="69"/>
      <c r="M152" s="56"/>
      <c r="N152" s="56"/>
      <c r="O152" s="56"/>
      <c r="T152" s="78"/>
    </row>
    <row r="153" spans="1:20" s="10" customFormat="1" ht="93.75" customHeight="1" x14ac:dyDescent="0.2">
      <c r="A153" s="1"/>
      <c r="B153" s="30" t="s">
        <v>157</v>
      </c>
      <c r="C153" s="28"/>
      <c r="D153" s="63" t="s">
        <v>305</v>
      </c>
      <c r="E153" s="5" t="s">
        <v>310</v>
      </c>
      <c r="F153" s="5" t="s">
        <v>310</v>
      </c>
      <c r="G153" s="5">
        <v>42004</v>
      </c>
      <c r="H153" s="3"/>
      <c r="I153" s="49" t="s">
        <v>310</v>
      </c>
      <c r="J153" s="49" t="s">
        <v>310</v>
      </c>
      <c r="K153" s="49" t="s">
        <v>310</v>
      </c>
      <c r="L153" s="69"/>
      <c r="M153" s="56"/>
      <c r="N153" s="56"/>
      <c r="O153" s="56"/>
      <c r="T153" s="78"/>
    </row>
    <row r="154" spans="1:20" s="10" customFormat="1" ht="96" customHeight="1" x14ac:dyDescent="0.2">
      <c r="A154" s="1"/>
      <c r="B154" s="30" t="s">
        <v>158</v>
      </c>
      <c r="C154" s="28"/>
      <c r="D154" s="63" t="s">
        <v>305</v>
      </c>
      <c r="E154" s="5" t="s">
        <v>310</v>
      </c>
      <c r="F154" s="5" t="s">
        <v>310</v>
      </c>
      <c r="G154" s="5">
        <v>42369</v>
      </c>
      <c r="H154" s="3"/>
      <c r="I154" s="49" t="s">
        <v>310</v>
      </c>
      <c r="J154" s="49" t="s">
        <v>310</v>
      </c>
      <c r="K154" s="49" t="s">
        <v>310</v>
      </c>
      <c r="L154" s="69"/>
      <c r="M154" s="56"/>
      <c r="N154" s="56"/>
      <c r="O154" s="56"/>
      <c r="T154" s="78"/>
    </row>
    <row r="155" spans="1:20" s="10" customFormat="1" ht="90" x14ac:dyDescent="0.2">
      <c r="A155" s="1"/>
      <c r="B155" s="30" t="s">
        <v>159</v>
      </c>
      <c r="C155" s="28"/>
      <c r="D155" s="63" t="s">
        <v>305</v>
      </c>
      <c r="E155" s="3" t="s">
        <v>310</v>
      </c>
      <c r="F155" s="3" t="s">
        <v>310</v>
      </c>
      <c r="G155" s="5">
        <v>42735</v>
      </c>
      <c r="H155" s="3"/>
      <c r="I155" s="49" t="s">
        <v>310</v>
      </c>
      <c r="J155" s="49" t="s">
        <v>310</v>
      </c>
      <c r="K155" s="49" t="s">
        <v>310</v>
      </c>
      <c r="L155" s="69"/>
      <c r="M155" s="56"/>
      <c r="N155" s="56"/>
      <c r="O155" s="56"/>
      <c r="T155" s="78"/>
    </row>
    <row r="156" spans="1:20" s="10" customFormat="1" ht="57" x14ac:dyDescent="0.2">
      <c r="A156" s="1"/>
      <c r="B156" s="29" t="s">
        <v>160</v>
      </c>
      <c r="C156" s="28"/>
      <c r="D156" s="114" t="s">
        <v>305</v>
      </c>
      <c r="E156" s="5">
        <v>41640</v>
      </c>
      <c r="F156" s="3"/>
      <c r="G156" s="5">
        <v>42735</v>
      </c>
      <c r="H156" s="3"/>
      <c r="I156" s="6">
        <f>I157+I158</f>
        <v>14396.109680000001</v>
      </c>
      <c r="J156" s="6">
        <f t="shared" ref="J156:K156" si="29">J157+J158</f>
        <v>2957.12</v>
      </c>
      <c r="K156" s="34">
        <f t="shared" si="29"/>
        <v>5929.1</v>
      </c>
      <c r="L156" s="69"/>
      <c r="M156" s="56"/>
      <c r="N156" s="56"/>
      <c r="O156" s="56"/>
      <c r="T156" s="78"/>
    </row>
    <row r="157" spans="1:20" s="10" customFormat="1" ht="30" x14ac:dyDescent="0.2">
      <c r="A157" s="1"/>
      <c r="B157" s="28" t="s">
        <v>161</v>
      </c>
      <c r="C157" s="28"/>
      <c r="D157" s="114"/>
      <c r="E157" s="5">
        <v>41640</v>
      </c>
      <c r="F157" s="5">
        <v>41640</v>
      </c>
      <c r="G157" s="5">
        <v>42735</v>
      </c>
      <c r="H157" s="3"/>
      <c r="I157" s="49">
        <f>12908312.48/1000</f>
        <v>12908.312480000001</v>
      </c>
      <c r="J157" s="41">
        <v>2362</v>
      </c>
      <c r="K157" s="50">
        <v>5929.1</v>
      </c>
      <c r="L157" s="70" t="s">
        <v>314</v>
      </c>
      <c r="M157" s="48" t="s">
        <v>315</v>
      </c>
      <c r="N157" s="48" t="s">
        <v>321</v>
      </c>
      <c r="O157" s="48"/>
      <c r="T157" s="78"/>
    </row>
    <row r="158" spans="1:20" s="10" customFormat="1" ht="45" x14ac:dyDescent="0.2">
      <c r="A158" s="1"/>
      <c r="B158" s="28" t="s">
        <v>162</v>
      </c>
      <c r="C158" s="28"/>
      <c r="D158" s="114"/>
      <c r="E158" s="5">
        <v>41640</v>
      </c>
      <c r="F158" s="5">
        <v>41640</v>
      </c>
      <c r="G158" s="5">
        <v>42735</v>
      </c>
      <c r="H158" s="3"/>
      <c r="I158" s="49">
        <f>1487797.2/1000</f>
        <v>1487.7972</v>
      </c>
      <c r="J158" s="41">
        <v>595.12</v>
      </c>
      <c r="K158" s="50">
        <v>0</v>
      </c>
      <c r="L158" s="70" t="s">
        <v>314</v>
      </c>
      <c r="M158" s="48" t="s">
        <v>315</v>
      </c>
      <c r="N158" s="48" t="s">
        <v>321</v>
      </c>
      <c r="O158" s="48"/>
      <c r="T158" s="78"/>
    </row>
    <row r="159" spans="1:20" s="10" customFormat="1" ht="95.25" customHeight="1" x14ac:dyDescent="0.2">
      <c r="A159" s="1"/>
      <c r="B159" s="30" t="s">
        <v>163</v>
      </c>
      <c r="C159" s="28" t="s">
        <v>2</v>
      </c>
      <c r="D159" s="63" t="s">
        <v>305</v>
      </c>
      <c r="E159" s="3" t="s">
        <v>310</v>
      </c>
      <c r="F159" s="3" t="s">
        <v>310</v>
      </c>
      <c r="G159" s="5">
        <v>42004</v>
      </c>
      <c r="H159" s="3"/>
      <c r="I159" s="49" t="s">
        <v>310</v>
      </c>
      <c r="J159" s="49" t="s">
        <v>310</v>
      </c>
      <c r="K159" s="49" t="s">
        <v>310</v>
      </c>
      <c r="L159" s="69"/>
      <c r="M159" s="56"/>
      <c r="N159" s="56"/>
      <c r="O159" s="56"/>
      <c r="T159" s="78"/>
    </row>
    <row r="160" spans="1:20" s="10" customFormat="1" ht="95.25" customHeight="1" x14ac:dyDescent="0.2">
      <c r="A160" s="1"/>
      <c r="B160" s="30" t="s">
        <v>164</v>
      </c>
      <c r="C160" s="28" t="s">
        <v>2</v>
      </c>
      <c r="D160" s="63" t="s">
        <v>305</v>
      </c>
      <c r="E160" s="3" t="s">
        <v>310</v>
      </c>
      <c r="F160" s="3" t="s">
        <v>310</v>
      </c>
      <c r="G160" s="5">
        <v>42185</v>
      </c>
      <c r="H160" s="3"/>
      <c r="I160" s="49" t="s">
        <v>310</v>
      </c>
      <c r="J160" s="49" t="s">
        <v>310</v>
      </c>
      <c r="K160" s="49" t="s">
        <v>310</v>
      </c>
      <c r="L160" s="69"/>
      <c r="M160" s="56"/>
      <c r="N160" s="56"/>
      <c r="O160" s="56"/>
      <c r="T160" s="78"/>
    </row>
    <row r="161" spans="1:20" s="10" customFormat="1" ht="98.25" customHeight="1" x14ac:dyDescent="0.2">
      <c r="A161" s="1"/>
      <c r="B161" s="30" t="s">
        <v>165</v>
      </c>
      <c r="C161" s="28" t="s">
        <v>2</v>
      </c>
      <c r="D161" s="63" t="s">
        <v>305</v>
      </c>
      <c r="E161" s="3" t="s">
        <v>310</v>
      </c>
      <c r="F161" s="3" t="s">
        <v>310</v>
      </c>
      <c r="G161" s="5">
        <v>42551</v>
      </c>
      <c r="H161" s="3"/>
      <c r="I161" s="49" t="s">
        <v>310</v>
      </c>
      <c r="J161" s="49" t="s">
        <v>310</v>
      </c>
      <c r="K161" s="49" t="s">
        <v>310</v>
      </c>
      <c r="L161" s="69"/>
      <c r="M161" s="56"/>
      <c r="N161" s="56"/>
      <c r="O161" s="56"/>
      <c r="T161" s="78"/>
    </row>
    <row r="162" spans="1:20" s="10" customFormat="1" ht="28.5" x14ac:dyDescent="0.2">
      <c r="A162" s="1"/>
      <c r="B162" s="29" t="s">
        <v>166</v>
      </c>
      <c r="C162" s="28"/>
      <c r="D162" s="114" t="s">
        <v>305</v>
      </c>
      <c r="E162" s="5">
        <v>41640</v>
      </c>
      <c r="F162" s="3"/>
      <c r="G162" s="5">
        <v>42735</v>
      </c>
      <c r="H162" s="3"/>
      <c r="I162" s="6">
        <f>I163+I164</f>
        <v>428.56632000000002</v>
      </c>
      <c r="J162" s="6">
        <f t="shared" ref="J162:K162" si="30">J163+J164</f>
        <v>171.43</v>
      </c>
      <c r="K162" s="6">
        <f t="shared" si="30"/>
        <v>0</v>
      </c>
      <c r="L162" s="69"/>
      <c r="M162" s="56"/>
      <c r="N162" s="56"/>
      <c r="O162" s="56"/>
      <c r="T162" s="78"/>
    </row>
    <row r="163" spans="1:20" s="10" customFormat="1" ht="30" x14ac:dyDescent="0.2">
      <c r="A163" s="1"/>
      <c r="B163" s="28" t="s">
        <v>167</v>
      </c>
      <c r="C163" s="28"/>
      <c r="D163" s="114"/>
      <c r="E163" s="5">
        <v>41640</v>
      </c>
      <c r="F163" s="5">
        <v>41640</v>
      </c>
      <c r="G163" s="5">
        <v>42735</v>
      </c>
      <c r="H163" s="3"/>
      <c r="I163" s="59">
        <f>428566.32/1000</f>
        <v>428.56632000000002</v>
      </c>
      <c r="J163" s="38">
        <v>171.43</v>
      </c>
      <c r="K163" s="50">
        <v>0</v>
      </c>
      <c r="L163" s="70" t="s">
        <v>314</v>
      </c>
      <c r="M163" s="48" t="s">
        <v>315</v>
      </c>
      <c r="N163" s="48" t="s">
        <v>316</v>
      </c>
      <c r="O163" s="56"/>
      <c r="T163" s="78"/>
    </row>
    <row r="164" spans="1:20" s="10" customFormat="1" ht="60" x14ac:dyDescent="0.2">
      <c r="A164" s="1"/>
      <c r="B164" s="28" t="s">
        <v>168</v>
      </c>
      <c r="C164" s="28"/>
      <c r="D164" s="114"/>
      <c r="E164" s="5">
        <v>41640</v>
      </c>
      <c r="F164" s="5">
        <v>41640</v>
      </c>
      <c r="G164" s="5">
        <v>42735</v>
      </c>
      <c r="H164" s="3"/>
      <c r="I164" s="49">
        <v>0</v>
      </c>
      <c r="J164" s="49">
        <v>0</v>
      </c>
      <c r="K164" s="50">
        <v>0</v>
      </c>
      <c r="L164" s="69"/>
      <c r="M164" s="56"/>
      <c r="N164" s="56"/>
      <c r="O164" s="56"/>
      <c r="T164" s="78"/>
    </row>
    <row r="165" spans="1:20" s="10" customFormat="1" ht="94.5" customHeight="1" x14ac:dyDescent="0.2">
      <c r="A165" s="1"/>
      <c r="B165" s="30" t="s">
        <v>169</v>
      </c>
      <c r="C165" s="28"/>
      <c r="D165" s="63" t="s">
        <v>305</v>
      </c>
      <c r="E165" s="3" t="s">
        <v>310</v>
      </c>
      <c r="F165" s="3" t="s">
        <v>310</v>
      </c>
      <c r="G165" s="5">
        <v>42004</v>
      </c>
      <c r="H165" s="3"/>
      <c r="I165" s="49" t="s">
        <v>310</v>
      </c>
      <c r="J165" s="49" t="s">
        <v>310</v>
      </c>
      <c r="K165" s="49" t="s">
        <v>310</v>
      </c>
      <c r="L165" s="69"/>
      <c r="M165" s="56"/>
      <c r="N165" s="56"/>
      <c r="O165" s="56"/>
      <c r="T165" s="78"/>
    </row>
    <row r="166" spans="1:20" s="10" customFormat="1" ht="94.5" customHeight="1" x14ac:dyDescent="0.2">
      <c r="A166" s="1"/>
      <c r="B166" s="30" t="s">
        <v>170</v>
      </c>
      <c r="C166" s="28" t="s">
        <v>2</v>
      </c>
      <c r="D166" s="63" t="s">
        <v>305</v>
      </c>
      <c r="E166" s="3" t="s">
        <v>310</v>
      </c>
      <c r="F166" s="3" t="s">
        <v>310</v>
      </c>
      <c r="G166" s="5">
        <v>42369</v>
      </c>
      <c r="H166" s="3"/>
      <c r="I166" s="49" t="s">
        <v>310</v>
      </c>
      <c r="J166" s="49" t="s">
        <v>310</v>
      </c>
      <c r="K166" s="49" t="s">
        <v>310</v>
      </c>
      <c r="L166" s="69"/>
      <c r="M166" s="56"/>
      <c r="N166" s="56"/>
      <c r="O166" s="56"/>
      <c r="T166" s="78"/>
    </row>
    <row r="167" spans="1:20" s="10" customFormat="1" ht="100.5" customHeight="1" x14ac:dyDescent="0.2">
      <c r="A167" s="1"/>
      <c r="B167" s="30" t="s">
        <v>171</v>
      </c>
      <c r="C167" s="28"/>
      <c r="D167" s="63" t="s">
        <v>305</v>
      </c>
      <c r="E167" s="3" t="s">
        <v>310</v>
      </c>
      <c r="F167" s="3" t="s">
        <v>310</v>
      </c>
      <c r="G167" s="5">
        <v>42735</v>
      </c>
      <c r="H167" s="3"/>
      <c r="I167" s="49" t="s">
        <v>310</v>
      </c>
      <c r="J167" s="49" t="s">
        <v>310</v>
      </c>
      <c r="K167" s="49" t="s">
        <v>310</v>
      </c>
      <c r="L167" s="69"/>
      <c r="M167" s="56"/>
      <c r="N167" s="56"/>
      <c r="O167" s="56"/>
      <c r="T167" s="78"/>
    </row>
    <row r="168" spans="1:20" s="10" customFormat="1" ht="18.75" x14ac:dyDescent="0.2">
      <c r="A168" s="1"/>
      <c r="B168" s="144" t="s">
        <v>172</v>
      </c>
      <c r="C168" s="144"/>
      <c r="D168" s="144"/>
      <c r="E168" s="144"/>
      <c r="F168" s="144"/>
      <c r="G168" s="144"/>
      <c r="H168" s="144"/>
      <c r="I168" s="86">
        <f>I162+I156+I150+I144+I140+I137+I131+I127+I121+I117+I111+I107+I103+I97+I92+I86+I82+I76+I72+I66+I62+I56</f>
        <v>248733.05028</v>
      </c>
      <c r="J168" s="86">
        <f>J162+J156+J150+J144+J140+J137+J131+J127+J121+J117+J111+J107+J103+J97+J92+J86+J82+J76+J72+J66+J62+J56</f>
        <v>47790.42</v>
      </c>
      <c r="K168" s="87">
        <f t="shared" ref="K168" si="31">K162+K156+K150+K144+K140+K137+K131+K127+K121+K117+K111+K107+K103+K97+K92+K86+K82+K76+K72+K66+K62+K56</f>
        <v>11260.380000000001</v>
      </c>
      <c r="L168" s="69"/>
      <c r="M168" s="56"/>
      <c r="N168" s="56"/>
      <c r="O168" s="56"/>
      <c r="T168" s="78"/>
    </row>
    <row r="169" spans="1:20" s="10" customFormat="1" ht="18.75" customHeight="1" x14ac:dyDescent="0.2">
      <c r="A169" s="1"/>
      <c r="B169" s="150" t="s">
        <v>173</v>
      </c>
      <c r="C169" s="150"/>
      <c r="D169" s="150"/>
      <c r="E169" s="150"/>
      <c r="F169" s="150"/>
      <c r="G169" s="150"/>
      <c r="H169" s="150"/>
      <c r="I169" s="150"/>
      <c r="J169" s="150"/>
      <c r="K169" s="150"/>
      <c r="L169" s="69"/>
      <c r="M169" s="56"/>
      <c r="N169" s="56"/>
      <c r="O169" s="56"/>
      <c r="T169" s="78"/>
    </row>
    <row r="170" spans="1:20" s="10" customFormat="1" ht="33" customHeight="1" x14ac:dyDescent="0.2">
      <c r="A170" s="1"/>
      <c r="B170" s="29" t="s">
        <v>174</v>
      </c>
      <c r="C170" s="28"/>
      <c r="D170" s="114" t="s">
        <v>305</v>
      </c>
      <c r="E170" s="5">
        <v>42370</v>
      </c>
      <c r="F170" s="3"/>
      <c r="G170" s="5">
        <v>42735</v>
      </c>
      <c r="H170" s="3"/>
      <c r="I170" s="49"/>
      <c r="J170" s="49"/>
      <c r="K170" s="50">
        <v>0</v>
      </c>
      <c r="L170" s="69"/>
      <c r="M170" s="56"/>
      <c r="N170" s="56"/>
      <c r="O170" s="56"/>
      <c r="T170" s="78"/>
    </row>
    <row r="171" spans="1:20" s="10" customFormat="1" ht="45" x14ac:dyDescent="0.2">
      <c r="A171" s="1"/>
      <c r="B171" s="28" t="s">
        <v>175</v>
      </c>
      <c r="C171" s="28"/>
      <c r="D171" s="114"/>
      <c r="E171" s="5">
        <v>42370</v>
      </c>
      <c r="F171" s="3"/>
      <c r="G171" s="5">
        <v>42735</v>
      </c>
      <c r="H171" s="3"/>
      <c r="I171" s="49"/>
      <c r="J171" s="49"/>
      <c r="K171" s="50">
        <v>0</v>
      </c>
      <c r="L171" s="69"/>
      <c r="M171" s="56"/>
      <c r="N171" s="56"/>
      <c r="O171" s="56"/>
      <c r="T171" s="78"/>
    </row>
    <row r="172" spans="1:20" s="10" customFormat="1" ht="45" x14ac:dyDescent="0.2">
      <c r="A172" s="1"/>
      <c r="B172" s="28" t="s">
        <v>176</v>
      </c>
      <c r="C172" s="28"/>
      <c r="D172" s="114"/>
      <c r="E172" s="5">
        <v>42370</v>
      </c>
      <c r="F172" s="3"/>
      <c r="G172" s="5">
        <v>42735</v>
      </c>
      <c r="H172" s="3"/>
      <c r="I172" s="49"/>
      <c r="J172" s="49"/>
      <c r="K172" s="50">
        <v>0</v>
      </c>
      <c r="L172" s="69"/>
      <c r="M172" s="56"/>
      <c r="N172" s="56"/>
      <c r="O172" s="56"/>
      <c r="T172" s="78"/>
    </row>
    <row r="173" spans="1:20" s="10" customFormat="1" ht="42.75" x14ac:dyDescent="0.2">
      <c r="A173" s="1"/>
      <c r="B173" s="29" t="s">
        <v>177</v>
      </c>
      <c r="C173" s="28"/>
      <c r="D173" s="114" t="s">
        <v>305</v>
      </c>
      <c r="E173" s="5">
        <v>41640</v>
      </c>
      <c r="F173" s="3"/>
      <c r="G173" s="5">
        <v>42735</v>
      </c>
      <c r="H173" s="3"/>
      <c r="I173" s="6">
        <f>I174+I175+I176+I177</f>
        <v>108446.45909</v>
      </c>
      <c r="J173" s="6">
        <f t="shared" ref="J173:K173" si="32">J174+J175+J176+J177</f>
        <v>26646.19</v>
      </c>
      <c r="K173" s="34">
        <f t="shared" si="32"/>
        <v>72629.72</v>
      </c>
      <c r="L173" s="69"/>
      <c r="M173" s="56"/>
      <c r="N173" s="56"/>
      <c r="O173" s="56"/>
      <c r="T173" s="78"/>
    </row>
    <row r="174" spans="1:20" s="10" customFormat="1" ht="120" x14ac:dyDescent="0.2">
      <c r="A174" s="1"/>
      <c r="B174" s="28" t="s">
        <v>300</v>
      </c>
      <c r="C174" s="28"/>
      <c r="D174" s="114"/>
      <c r="E174" s="5">
        <v>41640</v>
      </c>
      <c r="F174" s="5">
        <v>41640</v>
      </c>
      <c r="G174" s="5">
        <v>42735</v>
      </c>
      <c r="H174" s="3"/>
      <c r="I174" s="49">
        <f>88834734.69/1000</f>
        <v>88834.734689999997</v>
      </c>
      <c r="J174" s="47">
        <v>24341.5</v>
      </c>
      <c r="K174" s="50">
        <v>71513.119999999995</v>
      </c>
      <c r="L174" s="70" t="s">
        <v>314</v>
      </c>
      <c r="M174" s="48" t="s">
        <v>315</v>
      </c>
      <c r="N174" s="48" t="s">
        <v>326</v>
      </c>
      <c r="O174" s="56"/>
      <c r="T174" s="78"/>
    </row>
    <row r="175" spans="1:20" s="10" customFormat="1" ht="45" x14ac:dyDescent="0.2">
      <c r="A175" s="1"/>
      <c r="B175" s="28" t="s">
        <v>178</v>
      </c>
      <c r="C175" s="28"/>
      <c r="D175" s="114"/>
      <c r="E175" s="5">
        <v>41640</v>
      </c>
      <c r="F175" s="5">
        <v>41640</v>
      </c>
      <c r="G175" s="5">
        <v>42004</v>
      </c>
      <c r="H175" s="3"/>
      <c r="I175" s="49">
        <f>1111724.4/1000</f>
        <v>1111.7243999999998</v>
      </c>
      <c r="J175" s="41">
        <v>444.69</v>
      </c>
      <c r="K175" s="50">
        <v>0</v>
      </c>
      <c r="L175" s="70" t="s">
        <v>314</v>
      </c>
      <c r="M175" s="48" t="s">
        <v>315</v>
      </c>
      <c r="N175" s="48" t="s">
        <v>326</v>
      </c>
      <c r="O175" s="56"/>
      <c r="T175" s="78"/>
    </row>
    <row r="176" spans="1:20" s="10" customFormat="1" ht="30" x14ac:dyDescent="0.2">
      <c r="A176" s="1"/>
      <c r="B176" s="28" t="s">
        <v>179</v>
      </c>
      <c r="C176" s="28"/>
      <c r="D176" s="114"/>
      <c r="E176" s="5">
        <v>41640</v>
      </c>
      <c r="F176" s="5">
        <v>41640</v>
      </c>
      <c r="G176" s="5">
        <v>42004</v>
      </c>
      <c r="H176" s="3"/>
      <c r="I176" s="49">
        <f>12500000/1000</f>
        <v>12500</v>
      </c>
      <c r="J176" s="41">
        <v>1260</v>
      </c>
      <c r="K176" s="50">
        <v>0</v>
      </c>
      <c r="L176" s="70" t="s">
        <v>314</v>
      </c>
      <c r="M176" s="48" t="s">
        <v>315</v>
      </c>
      <c r="N176" s="48" t="s">
        <v>326</v>
      </c>
      <c r="O176" s="56"/>
      <c r="T176" s="78"/>
    </row>
    <row r="177" spans="1:20" s="10" customFormat="1" ht="45" x14ac:dyDescent="0.2">
      <c r="A177" s="1"/>
      <c r="B177" s="28" t="s">
        <v>180</v>
      </c>
      <c r="C177" s="28"/>
      <c r="D177" s="114"/>
      <c r="E177" s="5">
        <v>41640</v>
      </c>
      <c r="F177" s="5">
        <v>41640</v>
      </c>
      <c r="G177" s="5">
        <v>42735</v>
      </c>
      <c r="H177" s="3"/>
      <c r="I177" s="49">
        <f>6000000/1000</f>
        <v>6000</v>
      </c>
      <c r="J177" s="41">
        <v>600</v>
      </c>
      <c r="K177" s="50">
        <v>1116.5999999999999</v>
      </c>
      <c r="L177" s="70" t="s">
        <v>314</v>
      </c>
      <c r="M177" s="48" t="s">
        <v>315</v>
      </c>
      <c r="N177" s="48" t="s">
        <v>326</v>
      </c>
      <c r="O177" s="56"/>
      <c r="T177" s="78"/>
    </row>
    <row r="178" spans="1:20" s="10" customFormat="1" ht="96" customHeight="1" x14ac:dyDescent="0.2">
      <c r="A178" s="1"/>
      <c r="B178" s="30" t="s">
        <v>181</v>
      </c>
      <c r="C178" s="28"/>
      <c r="D178" s="63" t="s">
        <v>305</v>
      </c>
      <c r="E178" s="3" t="s">
        <v>310</v>
      </c>
      <c r="F178" s="3" t="s">
        <v>310</v>
      </c>
      <c r="G178" s="5">
        <v>42004</v>
      </c>
      <c r="H178" s="3"/>
      <c r="I178" s="49" t="s">
        <v>310</v>
      </c>
      <c r="J178" s="49" t="s">
        <v>310</v>
      </c>
      <c r="K178" s="49" t="s">
        <v>310</v>
      </c>
      <c r="L178" s="69"/>
      <c r="M178" s="56"/>
      <c r="N178" s="56"/>
      <c r="O178" s="56"/>
      <c r="T178" s="78"/>
    </row>
    <row r="179" spans="1:20" s="10" customFormat="1" ht="96.75" customHeight="1" x14ac:dyDescent="0.2">
      <c r="A179" s="1"/>
      <c r="B179" s="30" t="s">
        <v>182</v>
      </c>
      <c r="C179" s="28"/>
      <c r="D179" s="63" t="s">
        <v>305</v>
      </c>
      <c r="E179" s="3" t="s">
        <v>310</v>
      </c>
      <c r="F179" s="3" t="s">
        <v>310</v>
      </c>
      <c r="G179" s="5">
        <v>42369</v>
      </c>
      <c r="H179" s="3"/>
      <c r="I179" s="49" t="s">
        <v>310</v>
      </c>
      <c r="J179" s="49" t="s">
        <v>310</v>
      </c>
      <c r="K179" s="49" t="s">
        <v>310</v>
      </c>
      <c r="L179" s="69"/>
      <c r="M179" s="56"/>
      <c r="N179" s="56"/>
      <c r="O179" s="56"/>
      <c r="T179" s="78"/>
    </row>
    <row r="180" spans="1:20" s="10" customFormat="1" ht="98.25" customHeight="1" x14ac:dyDescent="0.2">
      <c r="A180" s="1"/>
      <c r="B180" s="30" t="s">
        <v>183</v>
      </c>
      <c r="C180" s="28" t="s">
        <v>2</v>
      </c>
      <c r="D180" s="63" t="s">
        <v>305</v>
      </c>
      <c r="E180" s="3" t="s">
        <v>310</v>
      </c>
      <c r="F180" s="3" t="s">
        <v>310</v>
      </c>
      <c r="G180" s="5">
        <v>42735</v>
      </c>
      <c r="H180" s="3"/>
      <c r="I180" s="49" t="s">
        <v>310</v>
      </c>
      <c r="J180" s="49" t="s">
        <v>310</v>
      </c>
      <c r="K180" s="49" t="s">
        <v>310</v>
      </c>
      <c r="L180" s="69"/>
      <c r="M180" s="56"/>
      <c r="N180" s="56"/>
      <c r="O180" s="56"/>
      <c r="T180" s="78"/>
    </row>
    <row r="181" spans="1:20" s="10" customFormat="1" ht="57" x14ac:dyDescent="0.2">
      <c r="A181" s="1"/>
      <c r="B181" s="29" t="s">
        <v>184</v>
      </c>
      <c r="C181" s="28"/>
      <c r="D181" s="114" t="s">
        <v>305</v>
      </c>
      <c r="E181" s="5">
        <v>41640</v>
      </c>
      <c r="F181" s="3"/>
      <c r="G181" s="5">
        <v>42735</v>
      </c>
      <c r="H181" s="3"/>
      <c r="I181" s="6">
        <f>I182+I183</f>
        <v>15296.076000000001</v>
      </c>
      <c r="J181" s="6">
        <f t="shared" ref="J181:K181" si="33">J182+J183</f>
        <v>2646</v>
      </c>
      <c r="K181" s="34">
        <f t="shared" si="33"/>
        <v>37.43</v>
      </c>
      <c r="L181" s="69"/>
      <c r="M181" s="56"/>
      <c r="N181" s="56"/>
      <c r="O181" s="56"/>
      <c r="T181" s="78"/>
    </row>
    <row r="182" spans="1:20" s="10" customFormat="1" ht="49.5" customHeight="1" x14ac:dyDescent="0.2">
      <c r="A182" s="1"/>
      <c r="B182" s="28" t="s">
        <v>185</v>
      </c>
      <c r="C182" s="28"/>
      <c r="D182" s="114"/>
      <c r="E182" s="5">
        <v>41640</v>
      </c>
      <c r="F182" s="5">
        <v>41640</v>
      </c>
      <c r="G182" s="5">
        <v>42735</v>
      </c>
      <c r="H182" s="3"/>
      <c r="I182" s="59">
        <f>4115378/1000</f>
        <v>4115.3779999999997</v>
      </c>
      <c r="J182" s="41">
        <v>1050</v>
      </c>
      <c r="K182" s="60">
        <v>37.43</v>
      </c>
      <c r="L182" s="70" t="s">
        <v>314</v>
      </c>
      <c r="M182" s="48" t="s">
        <v>315</v>
      </c>
      <c r="N182" s="48" t="s">
        <v>327</v>
      </c>
      <c r="O182" s="56"/>
      <c r="T182" s="78"/>
    </row>
    <row r="183" spans="1:20" s="10" customFormat="1" ht="21" customHeight="1" x14ac:dyDescent="0.2">
      <c r="A183" s="1"/>
      <c r="B183" s="28" t="s">
        <v>186</v>
      </c>
      <c r="C183" s="28"/>
      <c r="D183" s="114"/>
      <c r="E183" s="5">
        <v>41640</v>
      </c>
      <c r="F183" s="5">
        <v>41640</v>
      </c>
      <c r="G183" s="5">
        <v>42004</v>
      </c>
      <c r="H183" s="3"/>
      <c r="I183" s="59">
        <f>11180698/1000</f>
        <v>11180.698</v>
      </c>
      <c r="J183" s="41">
        <v>1596</v>
      </c>
      <c r="K183" s="60">
        <v>0</v>
      </c>
      <c r="L183" s="70" t="s">
        <v>314</v>
      </c>
      <c r="M183" s="48" t="s">
        <v>315</v>
      </c>
      <c r="N183" s="48" t="s">
        <v>328</v>
      </c>
      <c r="O183" s="56"/>
      <c r="T183" s="78"/>
    </row>
    <row r="184" spans="1:20" s="10" customFormat="1" ht="91.5" customHeight="1" x14ac:dyDescent="0.2">
      <c r="A184" s="1"/>
      <c r="B184" s="30" t="s">
        <v>187</v>
      </c>
      <c r="C184" s="28"/>
      <c r="D184" s="63" t="s">
        <v>305</v>
      </c>
      <c r="E184" s="3" t="s">
        <v>310</v>
      </c>
      <c r="F184" s="3" t="s">
        <v>310</v>
      </c>
      <c r="G184" s="5">
        <v>42004</v>
      </c>
      <c r="H184" s="3"/>
      <c r="I184" s="49" t="s">
        <v>310</v>
      </c>
      <c r="J184" s="49" t="s">
        <v>310</v>
      </c>
      <c r="K184" s="49" t="s">
        <v>310</v>
      </c>
      <c r="L184" s="69"/>
      <c r="M184" s="56"/>
      <c r="N184" s="56"/>
      <c r="O184" s="56"/>
      <c r="T184" s="78"/>
    </row>
    <row r="185" spans="1:20" s="10" customFormat="1" ht="96" customHeight="1" x14ac:dyDescent="0.2">
      <c r="A185" s="1"/>
      <c r="B185" s="30" t="s">
        <v>188</v>
      </c>
      <c r="C185" s="28"/>
      <c r="D185" s="63" t="s">
        <v>305</v>
      </c>
      <c r="E185" s="3" t="s">
        <v>310</v>
      </c>
      <c r="F185" s="3" t="s">
        <v>310</v>
      </c>
      <c r="G185" s="5">
        <v>42369</v>
      </c>
      <c r="H185" s="3"/>
      <c r="I185" s="49" t="s">
        <v>310</v>
      </c>
      <c r="J185" s="49" t="s">
        <v>310</v>
      </c>
      <c r="K185" s="49" t="s">
        <v>310</v>
      </c>
      <c r="L185" s="69"/>
      <c r="M185" s="56"/>
      <c r="N185" s="56"/>
      <c r="O185" s="56"/>
      <c r="T185" s="78"/>
    </row>
    <row r="186" spans="1:20" s="10" customFormat="1" ht="93.75" customHeight="1" x14ac:dyDescent="0.2">
      <c r="A186" s="1"/>
      <c r="B186" s="30" t="s">
        <v>189</v>
      </c>
      <c r="C186" s="28"/>
      <c r="D186" s="63" t="s">
        <v>305</v>
      </c>
      <c r="E186" s="3" t="s">
        <v>310</v>
      </c>
      <c r="F186" s="3" t="s">
        <v>310</v>
      </c>
      <c r="G186" s="5">
        <v>42735</v>
      </c>
      <c r="H186" s="3"/>
      <c r="I186" s="49" t="s">
        <v>310</v>
      </c>
      <c r="J186" s="49" t="s">
        <v>310</v>
      </c>
      <c r="K186" s="49" t="s">
        <v>310</v>
      </c>
      <c r="L186" s="69"/>
      <c r="M186" s="56"/>
      <c r="N186" s="56"/>
      <c r="O186" s="56"/>
      <c r="T186" s="78"/>
    </row>
    <row r="187" spans="1:20" s="10" customFormat="1" ht="57" x14ac:dyDescent="0.2">
      <c r="A187" s="1"/>
      <c r="B187" s="29" t="s">
        <v>190</v>
      </c>
      <c r="C187" s="28"/>
      <c r="D187" s="114" t="s">
        <v>305</v>
      </c>
      <c r="E187" s="5">
        <v>41640</v>
      </c>
      <c r="F187" s="3"/>
      <c r="G187" s="5">
        <v>42735</v>
      </c>
      <c r="H187" s="3"/>
      <c r="I187" s="6">
        <f>I188+I189</f>
        <v>11245.474839999999</v>
      </c>
      <c r="J187" s="6">
        <f t="shared" ref="J187:K187" si="34">J188+J189</f>
        <v>7850</v>
      </c>
      <c r="K187" s="6">
        <f t="shared" si="34"/>
        <v>2094.1</v>
      </c>
      <c r="L187" s="69"/>
      <c r="M187" s="56"/>
      <c r="N187" s="56"/>
      <c r="O187" s="56"/>
      <c r="T187" s="78"/>
    </row>
    <row r="188" spans="1:20" s="10" customFormat="1" ht="60" x14ac:dyDescent="0.2">
      <c r="A188" s="1"/>
      <c r="B188" s="28" t="s">
        <v>191</v>
      </c>
      <c r="C188" s="28"/>
      <c r="D188" s="114"/>
      <c r="E188" s="5">
        <v>41640</v>
      </c>
      <c r="F188" s="5">
        <v>41670</v>
      </c>
      <c r="G188" s="5">
        <v>42735</v>
      </c>
      <c r="H188" s="3"/>
      <c r="I188" s="49">
        <f>11245474.84/1000</f>
        <v>11245.474839999999</v>
      </c>
      <c r="J188" s="38">
        <v>7850</v>
      </c>
      <c r="K188" s="50">
        <v>2094.1</v>
      </c>
      <c r="L188" s="70" t="s">
        <v>314</v>
      </c>
      <c r="M188" s="48" t="s">
        <v>315</v>
      </c>
      <c r="N188" s="48" t="s">
        <v>329</v>
      </c>
      <c r="O188" s="56"/>
      <c r="T188" s="78"/>
    </row>
    <row r="189" spans="1:20" s="10" customFormat="1" ht="45" x14ac:dyDescent="0.2">
      <c r="A189" s="1"/>
      <c r="B189" s="28" t="s">
        <v>192</v>
      </c>
      <c r="C189" s="28"/>
      <c r="D189" s="114"/>
      <c r="E189" s="5">
        <v>41640</v>
      </c>
      <c r="F189" s="5"/>
      <c r="G189" s="5">
        <v>42735</v>
      </c>
      <c r="H189" s="3"/>
      <c r="I189" s="49">
        <v>0</v>
      </c>
      <c r="J189" s="49">
        <v>0</v>
      </c>
      <c r="K189" s="50">
        <v>0</v>
      </c>
      <c r="L189" s="69"/>
      <c r="M189" s="56"/>
      <c r="N189" s="56"/>
      <c r="O189" s="56"/>
      <c r="T189" s="78"/>
    </row>
    <row r="190" spans="1:20" s="10" customFormat="1" ht="98.25" customHeight="1" x14ac:dyDescent="0.2">
      <c r="A190" s="1"/>
      <c r="B190" s="30" t="s">
        <v>193</v>
      </c>
      <c r="C190" s="28" t="s">
        <v>2</v>
      </c>
      <c r="D190" s="63" t="s">
        <v>305</v>
      </c>
      <c r="E190" s="3" t="s">
        <v>310</v>
      </c>
      <c r="F190" s="3" t="s">
        <v>310</v>
      </c>
      <c r="G190" s="5">
        <v>41912</v>
      </c>
      <c r="H190" s="3"/>
      <c r="I190" s="49" t="s">
        <v>310</v>
      </c>
      <c r="J190" s="49" t="s">
        <v>310</v>
      </c>
      <c r="K190" s="49" t="s">
        <v>310</v>
      </c>
      <c r="L190" s="69"/>
      <c r="M190" s="56"/>
      <c r="N190" s="56"/>
      <c r="O190" s="56"/>
      <c r="T190" s="78"/>
    </row>
    <row r="191" spans="1:20" s="10" customFormat="1" ht="96.75" customHeight="1" x14ac:dyDescent="0.2">
      <c r="A191" s="1"/>
      <c r="B191" s="30" t="s">
        <v>194</v>
      </c>
      <c r="C191" s="28" t="s">
        <v>2</v>
      </c>
      <c r="D191" s="63" t="s">
        <v>305</v>
      </c>
      <c r="E191" s="3" t="s">
        <v>310</v>
      </c>
      <c r="F191" s="3" t="s">
        <v>310</v>
      </c>
      <c r="G191" s="5">
        <v>42277</v>
      </c>
      <c r="H191" s="3"/>
      <c r="I191" s="49" t="s">
        <v>310</v>
      </c>
      <c r="J191" s="49" t="s">
        <v>310</v>
      </c>
      <c r="K191" s="49" t="s">
        <v>310</v>
      </c>
      <c r="L191" s="69"/>
      <c r="M191" s="56"/>
      <c r="N191" s="56"/>
      <c r="O191" s="56"/>
      <c r="T191" s="78"/>
    </row>
    <row r="192" spans="1:20" s="10" customFormat="1" ht="94.5" customHeight="1" x14ac:dyDescent="0.2">
      <c r="A192" s="1"/>
      <c r="B192" s="30" t="s">
        <v>195</v>
      </c>
      <c r="C192" s="28" t="s">
        <v>2</v>
      </c>
      <c r="D192" s="63" t="s">
        <v>305</v>
      </c>
      <c r="E192" s="3" t="s">
        <v>310</v>
      </c>
      <c r="F192" s="3" t="s">
        <v>310</v>
      </c>
      <c r="G192" s="5">
        <v>42643</v>
      </c>
      <c r="H192" s="3"/>
      <c r="I192" s="49" t="s">
        <v>310</v>
      </c>
      <c r="J192" s="49" t="s">
        <v>310</v>
      </c>
      <c r="K192" s="49" t="s">
        <v>310</v>
      </c>
      <c r="L192" s="69"/>
      <c r="M192" s="56"/>
      <c r="N192" s="56"/>
      <c r="O192" s="56"/>
      <c r="T192" s="78"/>
    </row>
    <row r="193" spans="1:20" s="10" customFormat="1" ht="57" x14ac:dyDescent="0.2">
      <c r="A193" s="1"/>
      <c r="B193" s="29" t="s">
        <v>196</v>
      </c>
      <c r="C193" s="28"/>
      <c r="D193" s="114" t="s">
        <v>305</v>
      </c>
      <c r="E193" s="5">
        <v>41640</v>
      </c>
      <c r="F193" s="3"/>
      <c r="G193" s="5">
        <v>42735</v>
      </c>
      <c r="H193" s="3"/>
      <c r="I193" s="6">
        <f>SUM(I194:I198)</f>
        <v>60446.72393</v>
      </c>
      <c r="J193" s="6">
        <f>SUM(J194:J198)</f>
        <v>15991.72</v>
      </c>
      <c r="K193" s="34">
        <f>SUM(K194:K198)</f>
        <v>18096.38</v>
      </c>
      <c r="L193" s="69"/>
      <c r="M193" s="56"/>
      <c r="N193" s="56"/>
      <c r="O193" s="56"/>
      <c r="T193" s="78"/>
    </row>
    <row r="194" spans="1:20" s="10" customFormat="1" ht="60" x14ac:dyDescent="0.2">
      <c r="A194" s="1"/>
      <c r="B194" s="28" t="s">
        <v>197</v>
      </c>
      <c r="C194" s="28"/>
      <c r="D194" s="114"/>
      <c r="E194" s="5">
        <v>41640</v>
      </c>
      <c r="F194" s="3"/>
      <c r="G194" s="5">
        <v>42735</v>
      </c>
      <c r="H194" s="3"/>
      <c r="I194" s="49">
        <v>384</v>
      </c>
      <c r="J194" s="49">
        <v>231</v>
      </c>
      <c r="K194" s="50">
        <v>0</v>
      </c>
      <c r="L194" s="70" t="s">
        <v>314</v>
      </c>
      <c r="M194" s="48" t="s">
        <v>315</v>
      </c>
      <c r="N194" s="48" t="s">
        <v>329</v>
      </c>
      <c r="O194" s="56"/>
      <c r="T194" s="78"/>
    </row>
    <row r="195" spans="1:20" s="10" customFormat="1" ht="90" x14ac:dyDescent="0.2">
      <c r="A195" s="1"/>
      <c r="B195" s="28" t="s">
        <v>198</v>
      </c>
      <c r="C195" s="28"/>
      <c r="D195" s="114"/>
      <c r="E195" s="5">
        <v>41640</v>
      </c>
      <c r="F195" s="3"/>
      <c r="G195" s="5">
        <v>42735</v>
      </c>
      <c r="H195" s="3"/>
      <c r="I195" s="49">
        <f>100000/1000</f>
        <v>100</v>
      </c>
      <c r="J195" s="49">
        <v>40</v>
      </c>
      <c r="K195" s="50">
        <v>99.54</v>
      </c>
      <c r="L195" s="70" t="s">
        <v>314</v>
      </c>
      <c r="M195" s="48" t="s">
        <v>315</v>
      </c>
      <c r="N195" s="48" t="s">
        <v>329</v>
      </c>
      <c r="O195" s="56"/>
      <c r="T195" s="78"/>
    </row>
    <row r="196" spans="1:20" s="10" customFormat="1" ht="75" x14ac:dyDescent="0.2">
      <c r="A196" s="1"/>
      <c r="B196" s="28" t="s">
        <v>199</v>
      </c>
      <c r="C196" s="28"/>
      <c r="D196" s="114"/>
      <c r="E196" s="5">
        <v>41640</v>
      </c>
      <c r="F196" s="3"/>
      <c r="G196" s="5">
        <v>42735</v>
      </c>
      <c r="H196" s="3"/>
      <c r="I196" s="49">
        <f>15800000/1000</f>
        <v>15800</v>
      </c>
      <c r="J196" s="49">
        <v>1590</v>
      </c>
      <c r="K196" s="50">
        <v>0</v>
      </c>
      <c r="L196" s="70" t="s">
        <v>314</v>
      </c>
      <c r="M196" s="48" t="s">
        <v>315</v>
      </c>
      <c r="N196" s="48" t="s">
        <v>329</v>
      </c>
      <c r="O196" s="56"/>
      <c r="T196" s="78"/>
    </row>
    <row r="197" spans="1:20" s="10" customFormat="1" ht="75" x14ac:dyDescent="0.2">
      <c r="A197" s="1"/>
      <c r="B197" s="28" t="s">
        <v>200</v>
      </c>
      <c r="C197" s="28"/>
      <c r="D197" s="114"/>
      <c r="E197" s="5">
        <v>41640</v>
      </c>
      <c r="F197" s="3"/>
      <c r="G197" s="5">
        <v>42735</v>
      </c>
      <c r="H197" s="3"/>
      <c r="I197" s="49">
        <f>42262723.93/1000</f>
        <v>42262.72393</v>
      </c>
      <c r="J197" s="49">
        <v>14130.72</v>
      </c>
      <c r="K197" s="50">
        <v>17996.84</v>
      </c>
      <c r="L197" s="70" t="s">
        <v>314</v>
      </c>
      <c r="M197" s="48" t="s">
        <v>315</v>
      </c>
      <c r="N197" s="48" t="s">
        <v>327</v>
      </c>
      <c r="O197" s="56"/>
      <c r="T197" s="78"/>
    </row>
    <row r="198" spans="1:20" s="10" customFormat="1" ht="60" x14ac:dyDescent="0.2">
      <c r="A198" s="1"/>
      <c r="B198" s="28" t="s">
        <v>201</v>
      </c>
      <c r="C198" s="28"/>
      <c r="D198" s="114"/>
      <c r="E198" s="5">
        <v>41640</v>
      </c>
      <c r="F198" s="3"/>
      <c r="G198" s="5">
        <v>42735</v>
      </c>
      <c r="H198" s="3"/>
      <c r="I198" s="49">
        <v>1900</v>
      </c>
      <c r="J198" s="49">
        <v>0</v>
      </c>
      <c r="K198" s="50">
        <v>0</v>
      </c>
      <c r="L198" s="69"/>
      <c r="M198" s="56"/>
      <c r="N198" s="56"/>
      <c r="O198" s="56"/>
      <c r="T198" s="78"/>
    </row>
    <row r="199" spans="1:20" s="10" customFormat="1" ht="93" customHeight="1" x14ac:dyDescent="0.2">
      <c r="A199" s="1"/>
      <c r="B199" s="30" t="s">
        <v>202</v>
      </c>
      <c r="C199" s="28"/>
      <c r="D199" s="63" t="s">
        <v>305</v>
      </c>
      <c r="E199" s="3" t="s">
        <v>310</v>
      </c>
      <c r="F199" s="3" t="s">
        <v>310</v>
      </c>
      <c r="G199" s="5">
        <v>42004</v>
      </c>
      <c r="H199" s="3"/>
      <c r="I199" s="49" t="s">
        <v>310</v>
      </c>
      <c r="J199" s="49" t="s">
        <v>310</v>
      </c>
      <c r="K199" s="49" t="s">
        <v>310</v>
      </c>
      <c r="L199" s="69"/>
      <c r="M199" s="56"/>
      <c r="N199" s="56"/>
      <c r="O199" s="56"/>
      <c r="T199" s="78"/>
    </row>
    <row r="200" spans="1:20" s="10" customFormat="1" ht="98.25" customHeight="1" x14ac:dyDescent="0.2">
      <c r="A200" s="1"/>
      <c r="B200" s="30" t="s">
        <v>203</v>
      </c>
      <c r="C200" s="28"/>
      <c r="D200" s="63" t="s">
        <v>305</v>
      </c>
      <c r="E200" s="5" t="s">
        <v>310</v>
      </c>
      <c r="F200" s="5" t="s">
        <v>310</v>
      </c>
      <c r="G200" s="5">
        <v>42369</v>
      </c>
      <c r="H200" s="3"/>
      <c r="I200" s="49" t="s">
        <v>310</v>
      </c>
      <c r="J200" s="49" t="s">
        <v>310</v>
      </c>
      <c r="K200" s="49" t="s">
        <v>310</v>
      </c>
      <c r="L200" s="69"/>
      <c r="M200" s="56"/>
      <c r="N200" s="56"/>
      <c r="O200" s="56"/>
      <c r="T200" s="78"/>
    </row>
    <row r="201" spans="1:20" s="10" customFormat="1" ht="96" customHeight="1" x14ac:dyDescent="0.2">
      <c r="A201" s="1"/>
      <c r="B201" s="30" t="s">
        <v>204</v>
      </c>
      <c r="C201" s="28" t="s">
        <v>2</v>
      </c>
      <c r="D201" s="63" t="s">
        <v>305</v>
      </c>
      <c r="E201" s="3" t="s">
        <v>310</v>
      </c>
      <c r="F201" s="3" t="s">
        <v>310</v>
      </c>
      <c r="G201" s="5">
        <v>42735</v>
      </c>
      <c r="H201" s="3"/>
      <c r="I201" s="49" t="s">
        <v>310</v>
      </c>
      <c r="J201" s="49" t="s">
        <v>310</v>
      </c>
      <c r="K201" s="49" t="s">
        <v>310</v>
      </c>
      <c r="L201" s="69"/>
      <c r="M201" s="56"/>
      <c r="N201" s="56"/>
      <c r="O201" s="56"/>
      <c r="T201" s="78"/>
    </row>
    <row r="202" spans="1:20" s="10" customFormat="1" ht="18.75" x14ac:dyDescent="0.2">
      <c r="A202" s="1"/>
      <c r="B202" s="144" t="s">
        <v>205</v>
      </c>
      <c r="C202" s="144"/>
      <c r="D202" s="144"/>
      <c r="E202" s="144"/>
      <c r="F202" s="144"/>
      <c r="G202" s="144"/>
      <c r="H202" s="144"/>
      <c r="I202" s="86">
        <f>I193+I187+I181+I173</f>
        <v>195434.73386000001</v>
      </c>
      <c r="J202" s="86">
        <f t="shared" ref="J202:K202" si="35">J193+J187+J181+J173</f>
        <v>53133.91</v>
      </c>
      <c r="K202" s="87">
        <f t="shared" si="35"/>
        <v>92857.63</v>
      </c>
      <c r="L202" s="82"/>
      <c r="M202" s="81"/>
      <c r="N202" s="81"/>
      <c r="O202" s="56"/>
      <c r="T202" s="78"/>
    </row>
    <row r="203" spans="1:20" s="10" customFormat="1" ht="18.75" customHeight="1" x14ac:dyDescent="0.2">
      <c r="A203" s="1"/>
      <c r="B203" s="109" t="s">
        <v>206</v>
      </c>
      <c r="C203" s="110"/>
      <c r="D203" s="110"/>
      <c r="E203" s="110"/>
      <c r="F203" s="110"/>
      <c r="G203" s="110"/>
      <c r="H203" s="110"/>
      <c r="I203" s="110"/>
      <c r="J203" s="110"/>
      <c r="K203" s="110"/>
      <c r="L203" s="93"/>
      <c r="M203" s="93"/>
      <c r="N203" s="94"/>
      <c r="O203" s="56"/>
      <c r="T203" s="78"/>
    </row>
    <row r="204" spans="1:20" s="10" customFormat="1" ht="72" customHeight="1" x14ac:dyDescent="0.2">
      <c r="A204" s="1"/>
      <c r="B204" s="29" t="s">
        <v>207</v>
      </c>
      <c r="C204" s="28"/>
      <c r="D204" s="114" t="s">
        <v>305</v>
      </c>
      <c r="E204" s="5">
        <v>42005</v>
      </c>
      <c r="F204" s="3"/>
      <c r="G204" s="5">
        <v>42735</v>
      </c>
      <c r="H204" s="3"/>
      <c r="I204" s="6"/>
      <c r="J204" s="6">
        <f t="shared" ref="J204:K204" si="36">J205+J206</f>
        <v>0</v>
      </c>
      <c r="K204" s="34">
        <f t="shared" si="36"/>
        <v>0</v>
      </c>
      <c r="L204" s="69"/>
      <c r="M204" s="56"/>
      <c r="N204" s="56"/>
      <c r="O204" s="56"/>
      <c r="T204" s="78"/>
    </row>
    <row r="205" spans="1:20" s="10" customFormat="1" ht="45" x14ac:dyDescent="0.2">
      <c r="A205" s="1"/>
      <c r="B205" s="28" t="s">
        <v>208</v>
      </c>
      <c r="C205" s="28"/>
      <c r="D205" s="114"/>
      <c r="E205" s="5">
        <v>42005</v>
      </c>
      <c r="F205" s="3"/>
      <c r="G205" s="5">
        <v>42735</v>
      </c>
      <c r="H205" s="3"/>
      <c r="I205" s="49"/>
      <c r="J205" s="49">
        <v>0</v>
      </c>
      <c r="K205" s="50">
        <v>0</v>
      </c>
      <c r="L205" s="70" t="s">
        <v>342</v>
      </c>
      <c r="M205" s="56"/>
      <c r="N205" s="61" t="s">
        <v>352</v>
      </c>
      <c r="O205" s="56"/>
      <c r="T205" s="78"/>
    </row>
    <row r="206" spans="1:20" s="10" customFormat="1" ht="45" x14ac:dyDescent="0.2">
      <c r="A206" s="1"/>
      <c r="B206" s="28" t="s">
        <v>209</v>
      </c>
      <c r="C206" s="28"/>
      <c r="D206" s="114"/>
      <c r="E206" s="5">
        <v>42005</v>
      </c>
      <c r="F206" s="3"/>
      <c r="G206" s="5">
        <v>42735</v>
      </c>
      <c r="H206" s="3"/>
      <c r="I206" s="49"/>
      <c r="J206" s="49">
        <v>0</v>
      </c>
      <c r="K206" s="50">
        <v>0</v>
      </c>
      <c r="L206" s="69"/>
      <c r="M206" s="56"/>
      <c r="N206" s="56"/>
      <c r="O206" s="56"/>
      <c r="T206" s="78"/>
    </row>
    <row r="207" spans="1:20" s="10" customFormat="1" ht="99.75" customHeight="1" x14ac:dyDescent="0.2">
      <c r="A207" s="1"/>
      <c r="B207" s="30" t="s">
        <v>210</v>
      </c>
      <c r="C207" s="28"/>
      <c r="D207" s="63" t="s">
        <v>305</v>
      </c>
      <c r="E207" s="3" t="s">
        <v>310</v>
      </c>
      <c r="F207" s="3" t="s">
        <v>310</v>
      </c>
      <c r="G207" s="5">
        <v>42369</v>
      </c>
      <c r="H207" s="3"/>
      <c r="I207" s="49" t="s">
        <v>310</v>
      </c>
      <c r="J207" s="49" t="s">
        <v>310</v>
      </c>
      <c r="K207" s="49" t="s">
        <v>310</v>
      </c>
      <c r="L207" s="69"/>
      <c r="M207" s="56"/>
      <c r="N207" s="56"/>
      <c r="O207" s="56"/>
      <c r="T207" s="78"/>
    </row>
    <row r="208" spans="1:20" s="10" customFormat="1" ht="96.75" customHeight="1" x14ac:dyDescent="0.2">
      <c r="A208" s="1"/>
      <c r="B208" s="30" t="s">
        <v>211</v>
      </c>
      <c r="C208" s="28"/>
      <c r="D208" s="63" t="s">
        <v>305</v>
      </c>
      <c r="E208" s="3" t="s">
        <v>310</v>
      </c>
      <c r="F208" s="3" t="s">
        <v>310</v>
      </c>
      <c r="G208" s="5">
        <v>42735</v>
      </c>
      <c r="H208" s="3"/>
      <c r="I208" s="49" t="s">
        <v>310</v>
      </c>
      <c r="J208" s="49" t="s">
        <v>310</v>
      </c>
      <c r="K208" s="49" t="s">
        <v>310</v>
      </c>
      <c r="L208" s="69"/>
      <c r="M208" s="56"/>
      <c r="N208" s="56"/>
      <c r="O208" s="56"/>
      <c r="T208" s="78"/>
    </row>
    <row r="209" spans="1:20" s="10" customFormat="1" ht="42.75" x14ac:dyDescent="0.2">
      <c r="A209" s="1"/>
      <c r="B209" s="29" t="s">
        <v>212</v>
      </c>
      <c r="C209" s="28"/>
      <c r="D209" s="114" t="s">
        <v>305</v>
      </c>
      <c r="E209" s="5">
        <v>41640</v>
      </c>
      <c r="F209" s="3"/>
      <c r="G209" s="5">
        <v>42735</v>
      </c>
      <c r="H209" s="3"/>
      <c r="I209" s="6">
        <f>I210+I211</f>
        <v>679.86581999999999</v>
      </c>
      <c r="J209" s="6">
        <f t="shared" ref="J209:K209" si="37">J210+J211</f>
        <v>144.4</v>
      </c>
      <c r="K209" s="6">
        <f t="shared" si="37"/>
        <v>0</v>
      </c>
      <c r="L209" s="69"/>
      <c r="M209" s="56"/>
      <c r="N209" s="56"/>
      <c r="O209" s="56"/>
      <c r="T209" s="78"/>
    </row>
    <row r="210" spans="1:20" s="10" customFormat="1" ht="45" x14ac:dyDescent="0.2">
      <c r="A210" s="1"/>
      <c r="B210" s="28" t="s">
        <v>213</v>
      </c>
      <c r="C210" s="28"/>
      <c r="D210" s="114"/>
      <c r="E210" s="5">
        <v>41640</v>
      </c>
      <c r="F210" s="5">
        <v>41640</v>
      </c>
      <c r="G210" s="5">
        <v>42735</v>
      </c>
      <c r="H210" s="3"/>
      <c r="I210" s="49">
        <f>679865.82/1000</f>
        <v>679.86581999999999</v>
      </c>
      <c r="J210" s="49">
        <v>144.4</v>
      </c>
      <c r="K210" s="50">
        <v>0</v>
      </c>
      <c r="L210" s="70" t="s">
        <v>342</v>
      </c>
      <c r="M210" s="61" t="s">
        <v>350</v>
      </c>
      <c r="N210" s="61" t="s">
        <v>352</v>
      </c>
      <c r="O210" s="56"/>
      <c r="T210" s="78"/>
    </row>
    <row r="211" spans="1:20" s="10" customFormat="1" ht="18.75" x14ac:dyDescent="0.2">
      <c r="A211" s="1"/>
      <c r="B211" s="28" t="s">
        <v>214</v>
      </c>
      <c r="C211" s="28"/>
      <c r="D211" s="114"/>
      <c r="E211" s="5">
        <v>41640</v>
      </c>
      <c r="F211" s="3"/>
      <c r="G211" s="5">
        <v>42735</v>
      </c>
      <c r="H211" s="3"/>
      <c r="I211" s="49">
        <v>0</v>
      </c>
      <c r="J211" s="49">
        <v>0</v>
      </c>
      <c r="K211" s="50">
        <v>0</v>
      </c>
      <c r="L211" s="69"/>
      <c r="M211" s="56"/>
      <c r="N211" s="56"/>
      <c r="O211" s="56"/>
      <c r="T211" s="78"/>
    </row>
    <row r="212" spans="1:20" s="10" customFormat="1" ht="93" customHeight="1" x14ac:dyDescent="0.2">
      <c r="A212" s="1"/>
      <c r="B212" s="30" t="s">
        <v>215</v>
      </c>
      <c r="C212" s="28"/>
      <c r="D212" s="63" t="s">
        <v>305</v>
      </c>
      <c r="E212" s="3" t="s">
        <v>310</v>
      </c>
      <c r="F212" s="3" t="s">
        <v>310</v>
      </c>
      <c r="G212" s="5">
        <v>42004</v>
      </c>
      <c r="H212" s="3"/>
      <c r="I212" s="49" t="s">
        <v>310</v>
      </c>
      <c r="J212" s="49" t="s">
        <v>310</v>
      </c>
      <c r="K212" s="49" t="s">
        <v>310</v>
      </c>
      <c r="L212" s="69"/>
      <c r="M212" s="56"/>
      <c r="N212" s="56"/>
      <c r="O212" s="56"/>
      <c r="T212" s="78"/>
    </row>
    <row r="213" spans="1:20" s="10" customFormat="1" ht="95.25" customHeight="1" x14ac:dyDescent="0.2">
      <c r="A213" s="1"/>
      <c r="B213" s="30" t="s">
        <v>216</v>
      </c>
      <c r="C213" s="28"/>
      <c r="D213" s="63" t="s">
        <v>305</v>
      </c>
      <c r="E213" s="3" t="s">
        <v>310</v>
      </c>
      <c r="F213" s="3" t="s">
        <v>310</v>
      </c>
      <c r="G213" s="5">
        <v>42369</v>
      </c>
      <c r="H213" s="3"/>
      <c r="I213" s="49" t="s">
        <v>310</v>
      </c>
      <c r="J213" s="49" t="s">
        <v>310</v>
      </c>
      <c r="K213" s="49" t="s">
        <v>310</v>
      </c>
      <c r="L213" s="69"/>
      <c r="M213" s="56"/>
      <c r="N213" s="56"/>
      <c r="O213" s="56"/>
      <c r="T213" s="78"/>
    </row>
    <row r="214" spans="1:20" s="10" customFormat="1" ht="99" customHeight="1" x14ac:dyDescent="0.2">
      <c r="A214" s="1"/>
      <c r="B214" s="30" t="s">
        <v>217</v>
      </c>
      <c r="C214" s="28"/>
      <c r="D214" s="63" t="s">
        <v>305</v>
      </c>
      <c r="E214" s="3" t="s">
        <v>310</v>
      </c>
      <c r="F214" s="3" t="s">
        <v>310</v>
      </c>
      <c r="G214" s="5">
        <v>42735</v>
      </c>
      <c r="H214" s="3"/>
      <c r="I214" s="49" t="s">
        <v>310</v>
      </c>
      <c r="J214" s="49" t="s">
        <v>310</v>
      </c>
      <c r="K214" s="49" t="s">
        <v>310</v>
      </c>
      <c r="L214" s="69"/>
      <c r="M214" s="56"/>
      <c r="N214" s="56"/>
      <c r="O214" s="56"/>
      <c r="T214" s="78"/>
    </row>
    <row r="215" spans="1:20" s="10" customFormat="1" ht="59.25" customHeight="1" x14ac:dyDescent="0.2">
      <c r="A215" s="1"/>
      <c r="B215" s="29" t="s">
        <v>218</v>
      </c>
      <c r="C215" s="28"/>
      <c r="D215" s="114" t="s">
        <v>305</v>
      </c>
      <c r="E215" s="5">
        <v>41640</v>
      </c>
      <c r="F215" s="3"/>
      <c r="G215" s="5">
        <v>42735</v>
      </c>
      <c r="H215" s="3"/>
      <c r="I215" s="6">
        <f>I216+I217</f>
        <v>4138.5870199999999</v>
      </c>
      <c r="J215" s="6">
        <f t="shared" ref="J215:K215" si="38">J216+J217</f>
        <v>1001.73</v>
      </c>
      <c r="K215" s="6">
        <f t="shared" si="38"/>
        <v>0</v>
      </c>
      <c r="L215" s="69"/>
      <c r="M215" s="56"/>
      <c r="N215" s="56"/>
      <c r="O215" s="56"/>
      <c r="T215" s="78"/>
    </row>
    <row r="216" spans="1:20" s="10" customFormat="1" ht="66.75" customHeight="1" x14ac:dyDescent="0.2">
      <c r="A216" s="1"/>
      <c r="B216" s="28" t="s">
        <v>219</v>
      </c>
      <c r="C216" s="28"/>
      <c r="D216" s="114"/>
      <c r="E216" s="5">
        <v>41640</v>
      </c>
      <c r="F216" s="5">
        <v>41640</v>
      </c>
      <c r="G216" s="5">
        <v>42735</v>
      </c>
      <c r="H216" s="3"/>
      <c r="I216" s="49">
        <f>4138587.02/1000</f>
        <v>4138.5870199999999</v>
      </c>
      <c r="J216" s="49">
        <v>1001.73</v>
      </c>
      <c r="K216" s="50">
        <v>0</v>
      </c>
      <c r="L216" s="70" t="s">
        <v>342</v>
      </c>
      <c r="M216" s="61" t="s">
        <v>350</v>
      </c>
      <c r="N216" s="61" t="s">
        <v>352</v>
      </c>
      <c r="O216" s="56"/>
      <c r="T216" s="78"/>
    </row>
    <row r="217" spans="1:20" s="10" customFormat="1" ht="35.25" customHeight="1" x14ac:dyDescent="0.2">
      <c r="A217" s="1"/>
      <c r="B217" s="28" t="s">
        <v>220</v>
      </c>
      <c r="C217" s="28"/>
      <c r="D217" s="114"/>
      <c r="E217" s="5">
        <v>41640</v>
      </c>
      <c r="F217" s="5">
        <v>41640</v>
      </c>
      <c r="G217" s="5">
        <v>42735</v>
      </c>
      <c r="H217" s="3"/>
      <c r="I217" s="49">
        <v>0</v>
      </c>
      <c r="J217" s="49">
        <v>0</v>
      </c>
      <c r="K217" s="50">
        <v>0</v>
      </c>
      <c r="L217" s="69"/>
      <c r="M217" s="56"/>
      <c r="N217" s="56"/>
      <c r="O217" s="56"/>
      <c r="T217" s="78"/>
    </row>
    <row r="218" spans="1:20" s="10" customFormat="1" ht="161.25" customHeight="1" x14ac:dyDescent="0.2">
      <c r="A218" s="1"/>
      <c r="B218" s="30" t="s">
        <v>221</v>
      </c>
      <c r="C218" s="28"/>
      <c r="D218" s="63" t="s">
        <v>305</v>
      </c>
      <c r="E218" s="3" t="s">
        <v>310</v>
      </c>
      <c r="F218" s="3" t="s">
        <v>310</v>
      </c>
      <c r="G218" s="102">
        <v>41729</v>
      </c>
      <c r="H218" s="105" t="s">
        <v>369</v>
      </c>
      <c r="I218" s="49" t="s">
        <v>310</v>
      </c>
      <c r="J218" s="49" t="s">
        <v>310</v>
      </c>
      <c r="K218" s="49" t="s">
        <v>310</v>
      </c>
      <c r="L218" s="69"/>
      <c r="M218" s="56"/>
      <c r="N218" s="56"/>
      <c r="O218" s="56"/>
      <c r="T218" s="78"/>
    </row>
    <row r="219" spans="1:20" s="10" customFormat="1" ht="99.75" customHeight="1" x14ac:dyDescent="0.2">
      <c r="A219" s="1"/>
      <c r="B219" s="30" t="s">
        <v>222</v>
      </c>
      <c r="C219" s="28" t="s">
        <v>2</v>
      </c>
      <c r="D219" s="63" t="s">
        <v>305</v>
      </c>
      <c r="E219" s="3" t="s">
        <v>310</v>
      </c>
      <c r="F219" s="3" t="s">
        <v>310</v>
      </c>
      <c r="G219" s="5">
        <v>42094</v>
      </c>
      <c r="H219" s="3"/>
      <c r="I219" s="49" t="s">
        <v>310</v>
      </c>
      <c r="J219" s="49" t="s">
        <v>310</v>
      </c>
      <c r="K219" s="49" t="s">
        <v>310</v>
      </c>
      <c r="L219" s="69"/>
      <c r="M219" s="56"/>
      <c r="N219" s="56"/>
      <c r="O219" s="56"/>
      <c r="T219" s="78"/>
    </row>
    <row r="220" spans="1:20" s="10" customFormat="1" ht="94.5" customHeight="1" x14ac:dyDescent="0.2">
      <c r="A220" s="1"/>
      <c r="B220" s="30" t="s">
        <v>223</v>
      </c>
      <c r="C220" s="28" t="s">
        <v>2</v>
      </c>
      <c r="D220" s="63" t="s">
        <v>305</v>
      </c>
      <c r="E220" s="3" t="s">
        <v>310</v>
      </c>
      <c r="F220" s="3" t="s">
        <v>310</v>
      </c>
      <c r="G220" s="5">
        <v>42460</v>
      </c>
      <c r="H220" s="3"/>
      <c r="I220" s="49" t="s">
        <v>310</v>
      </c>
      <c r="J220" s="49" t="s">
        <v>310</v>
      </c>
      <c r="K220" s="49" t="s">
        <v>310</v>
      </c>
      <c r="L220" s="69"/>
      <c r="M220" s="56"/>
      <c r="N220" s="56"/>
      <c r="O220" s="56"/>
      <c r="T220" s="78"/>
    </row>
    <row r="221" spans="1:20" s="10" customFormat="1" ht="34.5" customHeight="1" x14ac:dyDescent="0.2">
      <c r="A221" s="1"/>
      <c r="B221" s="29" t="s">
        <v>224</v>
      </c>
      <c r="C221" s="28"/>
      <c r="D221" s="114" t="s">
        <v>305</v>
      </c>
      <c r="E221" s="5">
        <v>41640</v>
      </c>
      <c r="F221" s="3"/>
      <c r="G221" s="5">
        <v>42735</v>
      </c>
      <c r="H221" s="3"/>
      <c r="I221" s="6">
        <f>I222+I223</f>
        <v>11306.079320000001</v>
      </c>
      <c r="J221" s="6">
        <f t="shared" ref="J221:K221" si="39">J222+J223</f>
        <v>4326.5</v>
      </c>
      <c r="K221" s="34">
        <f t="shared" si="39"/>
        <v>0</v>
      </c>
      <c r="L221" s="69"/>
      <c r="M221" s="56"/>
      <c r="N221" s="56"/>
      <c r="O221" s="56"/>
      <c r="T221" s="78"/>
    </row>
    <row r="222" spans="1:20" s="10" customFormat="1" ht="45" x14ac:dyDescent="0.2">
      <c r="A222" s="1"/>
      <c r="B222" s="28" t="s">
        <v>225</v>
      </c>
      <c r="C222" s="28"/>
      <c r="D222" s="114"/>
      <c r="E222" s="5">
        <v>41640</v>
      </c>
      <c r="F222" s="5">
        <v>41640</v>
      </c>
      <c r="G222" s="5">
        <v>42735</v>
      </c>
      <c r="H222" s="3"/>
      <c r="I222" s="49">
        <f>1306079.32/1000</f>
        <v>1306.0793200000001</v>
      </c>
      <c r="J222" s="49">
        <v>326.5</v>
      </c>
      <c r="K222" s="50">
        <v>0</v>
      </c>
      <c r="L222" s="77" t="s">
        <v>342</v>
      </c>
      <c r="M222" s="76" t="s">
        <v>350</v>
      </c>
      <c r="N222" s="76" t="s">
        <v>353</v>
      </c>
      <c r="O222" s="56"/>
      <c r="T222" s="78"/>
    </row>
    <row r="223" spans="1:20" s="10" customFormat="1" ht="45" x14ac:dyDescent="0.2">
      <c r="A223" s="1"/>
      <c r="B223" s="28" t="s">
        <v>226</v>
      </c>
      <c r="C223" s="28"/>
      <c r="D223" s="114"/>
      <c r="E223" s="5">
        <v>41640</v>
      </c>
      <c r="F223" s="5">
        <v>41640</v>
      </c>
      <c r="G223" s="5">
        <v>42004</v>
      </c>
      <c r="H223" s="3"/>
      <c r="I223" s="49">
        <f>10000000/1000</f>
        <v>10000</v>
      </c>
      <c r="J223" s="49">
        <v>4000</v>
      </c>
      <c r="K223" s="50">
        <v>0</v>
      </c>
      <c r="L223" s="77" t="s">
        <v>342</v>
      </c>
      <c r="M223" s="76" t="s">
        <v>315</v>
      </c>
      <c r="N223" s="76" t="s">
        <v>353</v>
      </c>
      <c r="O223" s="56"/>
      <c r="T223" s="78"/>
    </row>
    <row r="224" spans="1:20" s="10" customFormat="1" ht="93" customHeight="1" x14ac:dyDescent="0.2">
      <c r="A224" s="1"/>
      <c r="B224" s="30" t="s">
        <v>227</v>
      </c>
      <c r="C224" s="28"/>
      <c r="D224" s="63" t="s">
        <v>305</v>
      </c>
      <c r="E224" s="3" t="s">
        <v>310</v>
      </c>
      <c r="F224" s="3" t="s">
        <v>310</v>
      </c>
      <c r="G224" s="5">
        <v>42004</v>
      </c>
      <c r="H224" s="3"/>
      <c r="I224" s="49" t="s">
        <v>310</v>
      </c>
      <c r="J224" s="49" t="s">
        <v>310</v>
      </c>
      <c r="K224" s="49" t="s">
        <v>310</v>
      </c>
      <c r="L224" s="69"/>
      <c r="M224" s="56"/>
      <c r="N224" s="56"/>
      <c r="O224" s="56"/>
      <c r="T224" s="78"/>
    </row>
    <row r="225" spans="1:20" s="10" customFormat="1" ht="95.25" customHeight="1" x14ac:dyDescent="0.2">
      <c r="A225" s="1"/>
      <c r="B225" s="30" t="s">
        <v>228</v>
      </c>
      <c r="C225" s="28"/>
      <c r="D225" s="63" t="s">
        <v>305</v>
      </c>
      <c r="E225" s="3" t="s">
        <v>310</v>
      </c>
      <c r="F225" s="3" t="s">
        <v>310</v>
      </c>
      <c r="G225" s="5">
        <v>42369</v>
      </c>
      <c r="H225" s="3"/>
      <c r="I225" s="49" t="s">
        <v>310</v>
      </c>
      <c r="J225" s="49" t="s">
        <v>310</v>
      </c>
      <c r="K225" s="49" t="s">
        <v>310</v>
      </c>
      <c r="L225" s="69"/>
      <c r="M225" s="56"/>
      <c r="N225" s="56"/>
      <c r="O225" s="56"/>
      <c r="T225" s="78"/>
    </row>
    <row r="226" spans="1:20" s="10" customFormat="1" ht="94.5" customHeight="1" x14ac:dyDescent="0.2">
      <c r="A226" s="1"/>
      <c r="B226" s="30" t="s">
        <v>229</v>
      </c>
      <c r="C226" s="28"/>
      <c r="D226" s="63" t="s">
        <v>305</v>
      </c>
      <c r="E226" s="3" t="s">
        <v>311</v>
      </c>
      <c r="F226" s="3" t="s">
        <v>311</v>
      </c>
      <c r="G226" s="5">
        <v>42735</v>
      </c>
      <c r="H226" s="3"/>
      <c r="I226" s="49" t="s">
        <v>311</v>
      </c>
      <c r="J226" s="49" t="s">
        <v>311</v>
      </c>
      <c r="K226" s="49" t="s">
        <v>311</v>
      </c>
      <c r="L226" s="69"/>
      <c r="M226" s="56"/>
      <c r="N226" s="56"/>
      <c r="O226" s="56"/>
      <c r="T226" s="78"/>
    </row>
    <row r="227" spans="1:20" s="10" customFormat="1" ht="85.5" x14ac:dyDescent="0.2">
      <c r="A227" s="1"/>
      <c r="B227" s="29" t="s">
        <v>230</v>
      </c>
      <c r="C227" s="28"/>
      <c r="D227" s="114" t="s">
        <v>305</v>
      </c>
      <c r="E227" s="5">
        <v>41640</v>
      </c>
      <c r="F227" s="3"/>
      <c r="G227" s="5">
        <v>42735</v>
      </c>
      <c r="H227" s="3"/>
      <c r="I227" s="6">
        <f>I228+I229</f>
        <v>3090</v>
      </c>
      <c r="J227" s="6">
        <f t="shared" ref="J227:K227" si="40">J228+J229</f>
        <v>1236</v>
      </c>
      <c r="K227" s="6">
        <f t="shared" si="40"/>
        <v>0</v>
      </c>
      <c r="L227" s="69"/>
      <c r="M227" s="56"/>
      <c r="N227" s="56"/>
      <c r="O227" s="56"/>
      <c r="T227" s="78"/>
    </row>
    <row r="228" spans="1:20" s="10" customFormat="1" ht="60" x14ac:dyDescent="0.2">
      <c r="A228" s="1"/>
      <c r="B228" s="28" t="s">
        <v>231</v>
      </c>
      <c r="C228" s="28"/>
      <c r="D228" s="114"/>
      <c r="E228" s="5">
        <v>41640</v>
      </c>
      <c r="F228" s="5">
        <v>41640</v>
      </c>
      <c r="G228" s="5">
        <v>42735</v>
      </c>
      <c r="H228" s="3"/>
      <c r="I228" s="49">
        <f>3090000/1000</f>
        <v>3090</v>
      </c>
      <c r="J228" s="49">
        <v>1236</v>
      </c>
      <c r="K228" s="50">
        <v>0</v>
      </c>
      <c r="L228" s="70" t="s">
        <v>342</v>
      </c>
      <c r="M228" s="61" t="s">
        <v>315</v>
      </c>
      <c r="N228" s="61" t="s">
        <v>353</v>
      </c>
      <c r="O228" s="56"/>
      <c r="T228" s="78"/>
    </row>
    <row r="229" spans="1:20" s="10" customFormat="1" ht="45" x14ac:dyDescent="0.2">
      <c r="A229" s="1"/>
      <c r="B229" s="28" t="s">
        <v>232</v>
      </c>
      <c r="C229" s="28"/>
      <c r="D229" s="114"/>
      <c r="E229" s="5">
        <v>41640</v>
      </c>
      <c r="F229" s="5">
        <v>41640</v>
      </c>
      <c r="G229" s="5">
        <v>42735</v>
      </c>
      <c r="H229" s="3"/>
      <c r="I229" s="49">
        <v>0</v>
      </c>
      <c r="J229" s="49">
        <v>0</v>
      </c>
      <c r="K229" s="64">
        <v>0</v>
      </c>
      <c r="L229" s="69"/>
      <c r="M229" s="56"/>
      <c r="N229" s="56"/>
      <c r="O229" s="56"/>
      <c r="T229" s="78"/>
    </row>
    <row r="230" spans="1:20" s="10" customFormat="1" ht="98.25" customHeight="1" x14ac:dyDescent="0.2">
      <c r="A230" s="1"/>
      <c r="B230" s="30" t="s">
        <v>233</v>
      </c>
      <c r="C230" s="28"/>
      <c r="D230" s="63" t="s">
        <v>305</v>
      </c>
      <c r="E230" s="3" t="s">
        <v>310</v>
      </c>
      <c r="F230" s="3" t="s">
        <v>310</v>
      </c>
      <c r="G230" s="5">
        <v>41820</v>
      </c>
      <c r="H230" s="3"/>
      <c r="I230" s="49" t="s">
        <v>310</v>
      </c>
      <c r="J230" s="49" t="s">
        <v>310</v>
      </c>
      <c r="K230" s="49" t="s">
        <v>310</v>
      </c>
      <c r="L230" s="69"/>
      <c r="M230" s="56"/>
      <c r="N230" s="56"/>
      <c r="O230" s="56"/>
      <c r="T230" s="78"/>
    </row>
    <row r="231" spans="1:20" s="10" customFormat="1" ht="95.25" customHeight="1" x14ac:dyDescent="0.2">
      <c r="A231" s="1"/>
      <c r="B231" s="30" t="s">
        <v>234</v>
      </c>
      <c r="C231" s="28" t="s">
        <v>2</v>
      </c>
      <c r="D231" s="63" t="s">
        <v>305</v>
      </c>
      <c r="E231" s="3" t="s">
        <v>310</v>
      </c>
      <c r="F231" s="3" t="s">
        <v>310</v>
      </c>
      <c r="G231" s="5">
        <v>42185</v>
      </c>
      <c r="H231" s="3"/>
      <c r="I231" s="49" t="s">
        <v>310</v>
      </c>
      <c r="J231" s="49" t="s">
        <v>310</v>
      </c>
      <c r="K231" s="49" t="s">
        <v>310</v>
      </c>
      <c r="L231" s="69"/>
      <c r="M231" s="56"/>
      <c r="N231" s="56"/>
      <c r="O231" s="56"/>
      <c r="T231" s="78"/>
    </row>
    <row r="232" spans="1:20" s="10" customFormat="1" ht="96.75" customHeight="1" x14ac:dyDescent="0.2">
      <c r="A232" s="1"/>
      <c r="B232" s="30" t="s">
        <v>235</v>
      </c>
      <c r="C232" s="28" t="s">
        <v>2</v>
      </c>
      <c r="D232" s="63" t="s">
        <v>305</v>
      </c>
      <c r="E232" s="3" t="s">
        <v>310</v>
      </c>
      <c r="F232" s="3" t="s">
        <v>310</v>
      </c>
      <c r="G232" s="5">
        <v>42551</v>
      </c>
      <c r="H232" s="3"/>
      <c r="I232" s="49" t="s">
        <v>310</v>
      </c>
      <c r="J232" s="49" t="s">
        <v>310</v>
      </c>
      <c r="K232" s="49" t="s">
        <v>310</v>
      </c>
      <c r="L232" s="69"/>
      <c r="M232" s="56"/>
      <c r="N232" s="56"/>
      <c r="O232" s="56"/>
      <c r="T232" s="78"/>
    </row>
    <row r="233" spans="1:20" s="10" customFormat="1" ht="28.5" x14ac:dyDescent="0.2">
      <c r="A233" s="1"/>
      <c r="B233" s="29" t="s">
        <v>236</v>
      </c>
      <c r="C233" s="28"/>
      <c r="D233" s="114" t="s">
        <v>305</v>
      </c>
      <c r="E233" s="5">
        <v>41640</v>
      </c>
      <c r="F233" s="3"/>
      <c r="G233" s="5">
        <v>42004</v>
      </c>
      <c r="H233" s="3"/>
      <c r="I233" s="6">
        <f>I234+I235</f>
        <v>1000</v>
      </c>
      <c r="J233" s="6">
        <f t="shared" ref="J233:K233" si="41">J234+J235</f>
        <v>400</v>
      </c>
      <c r="K233" s="6">
        <f t="shared" si="41"/>
        <v>0</v>
      </c>
      <c r="L233" s="69"/>
      <c r="M233" s="56"/>
      <c r="N233" s="56"/>
      <c r="O233" s="56"/>
      <c r="T233" s="78"/>
    </row>
    <row r="234" spans="1:20" s="10" customFormat="1" ht="45" x14ac:dyDescent="0.2">
      <c r="A234" s="1"/>
      <c r="B234" s="28" t="s">
        <v>237</v>
      </c>
      <c r="C234" s="28"/>
      <c r="D234" s="114"/>
      <c r="E234" s="5">
        <v>41640</v>
      </c>
      <c r="F234" s="5">
        <v>41640</v>
      </c>
      <c r="G234" s="5">
        <v>42004</v>
      </c>
      <c r="H234" s="3"/>
      <c r="I234" s="49">
        <f>1000000/1000</f>
        <v>1000</v>
      </c>
      <c r="J234" s="49">
        <v>400</v>
      </c>
      <c r="K234" s="50">
        <v>0</v>
      </c>
      <c r="L234" s="77" t="s">
        <v>342</v>
      </c>
      <c r="M234" s="76" t="s">
        <v>315</v>
      </c>
      <c r="N234" s="76" t="s">
        <v>352</v>
      </c>
      <c r="O234" s="56"/>
      <c r="T234" s="78"/>
    </row>
    <row r="235" spans="1:20" s="10" customFormat="1" ht="36.75" customHeight="1" x14ac:dyDescent="0.2">
      <c r="A235" s="1"/>
      <c r="B235" s="28" t="s">
        <v>238</v>
      </c>
      <c r="C235" s="28"/>
      <c r="D235" s="114"/>
      <c r="E235" s="5">
        <v>41640</v>
      </c>
      <c r="F235" s="5">
        <v>41640</v>
      </c>
      <c r="G235" s="5">
        <v>42004</v>
      </c>
      <c r="H235" s="3"/>
      <c r="I235" s="49">
        <v>0</v>
      </c>
      <c r="J235" s="49">
        <v>0</v>
      </c>
      <c r="K235" s="50">
        <v>0</v>
      </c>
      <c r="L235" s="69"/>
      <c r="M235" s="56"/>
      <c r="N235" s="56"/>
      <c r="O235" s="56"/>
      <c r="T235" s="78"/>
    </row>
    <row r="236" spans="1:20" s="10" customFormat="1" ht="96.75" customHeight="1" x14ac:dyDescent="0.2">
      <c r="A236" s="1"/>
      <c r="B236" s="30" t="s">
        <v>239</v>
      </c>
      <c r="C236" s="28" t="s">
        <v>2</v>
      </c>
      <c r="D236" s="63" t="s">
        <v>305</v>
      </c>
      <c r="E236" s="3" t="s">
        <v>310</v>
      </c>
      <c r="F236" s="3" t="s">
        <v>310</v>
      </c>
      <c r="G236" s="5">
        <v>41820</v>
      </c>
      <c r="H236" s="3"/>
      <c r="I236" s="49" t="s">
        <v>310</v>
      </c>
      <c r="J236" s="49" t="s">
        <v>310</v>
      </c>
      <c r="K236" s="49" t="s">
        <v>310</v>
      </c>
      <c r="L236" s="69"/>
      <c r="M236" s="56"/>
      <c r="N236" s="56"/>
      <c r="O236" s="56"/>
      <c r="T236" s="78"/>
    </row>
    <row r="237" spans="1:20" s="10" customFormat="1" ht="61.5" customHeight="1" x14ac:dyDescent="0.2">
      <c r="A237" s="1"/>
      <c r="B237" s="29" t="s">
        <v>240</v>
      </c>
      <c r="C237" s="28"/>
      <c r="D237" s="114" t="s">
        <v>305</v>
      </c>
      <c r="E237" s="5">
        <v>41640</v>
      </c>
      <c r="F237" s="3"/>
      <c r="G237" s="5">
        <v>42735</v>
      </c>
      <c r="H237" s="3"/>
      <c r="I237" s="6">
        <f>I238+I239</f>
        <v>400.36500000000001</v>
      </c>
      <c r="J237" s="6">
        <f t="shared" ref="J237:K237" si="42">J238+J239</f>
        <v>40.04</v>
      </c>
      <c r="K237" s="6">
        <f t="shared" si="42"/>
        <v>0</v>
      </c>
      <c r="L237" s="69"/>
      <c r="M237" s="56"/>
      <c r="N237" s="56"/>
      <c r="O237" s="56"/>
      <c r="T237" s="78"/>
    </row>
    <row r="238" spans="1:20" s="10" customFormat="1" ht="45" x14ac:dyDescent="0.2">
      <c r="A238" s="1"/>
      <c r="B238" s="28" t="s">
        <v>241</v>
      </c>
      <c r="C238" s="28"/>
      <c r="D238" s="114"/>
      <c r="E238" s="5">
        <v>41640</v>
      </c>
      <c r="F238" s="3"/>
      <c r="G238" s="5">
        <v>42735</v>
      </c>
      <c r="H238" s="3"/>
      <c r="I238" s="49">
        <f>400365/1000</f>
        <v>400.36500000000001</v>
      </c>
      <c r="J238" s="49">
        <v>40.04</v>
      </c>
      <c r="K238" s="50">
        <v>0</v>
      </c>
      <c r="L238" s="70" t="s">
        <v>342</v>
      </c>
      <c r="M238" s="61" t="s">
        <v>315</v>
      </c>
      <c r="N238" s="61" t="s">
        <v>354</v>
      </c>
      <c r="O238" s="56"/>
      <c r="T238" s="78"/>
    </row>
    <row r="239" spans="1:20" s="10" customFormat="1" ht="60" x14ac:dyDescent="0.2">
      <c r="A239" s="1"/>
      <c r="B239" s="28" t="s">
        <v>242</v>
      </c>
      <c r="C239" s="28"/>
      <c r="D239" s="114"/>
      <c r="E239" s="5">
        <v>41640</v>
      </c>
      <c r="F239" s="3"/>
      <c r="G239" s="5">
        <v>42735</v>
      </c>
      <c r="H239" s="3"/>
      <c r="I239" s="49">
        <v>0</v>
      </c>
      <c r="J239" s="49">
        <v>0</v>
      </c>
      <c r="K239" s="50">
        <v>0</v>
      </c>
      <c r="L239" s="69"/>
      <c r="M239" s="56"/>
      <c r="N239" s="56"/>
      <c r="O239" s="56"/>
      <c r="T239" s="78"/>
    </row>
    <row r="240" spans="1:20" s="10" customFormat="1" ht="96.75" customHeight="1" x14ac:dyDescent="0.2">
      <c r="A240" s="1"/>
      <c r="B240" s="30" t="s">
        <v>243</v>
      </c>
      <c r="C240" s="30"/>
      <c r="D240" s="63" t="s">
        <v>305</v>
      </c>
      <c r="E240" s="5" t="s">
        <v>310</v>
      </c>
      <c r="F240" s="5" t="s">
        <v>310</v>
      </c>
      <c r="G240" s="5">
        <v>42004</v>
      </c>
      <c r="H240" s="3"/>
      <c r="I240" s="49" t="s">
        <v>310</v>
      </c>
      <c r="J240" s="49" t="s">
        <v>310</v>
      </c>
      <c r="K240" s="49" t="s">
        <v>310</v>
      </c>
      <c r="L240" s="69"/>
      <c r="M240" s="56"/>
      <c r="N240" s="56"/>
      <c r="O240" s="56"/>
      <c r="T240" s="78"/>
    </row>
    <row r="241" spans="1:20" s="10" customFormat="1" ht="95.25" customHeight="1" x14ac:dyDescent="0.2">
      <c r="A241" s="1"/>
      <c r="B241" s="30" t="s">
        <v>244</v>
      </c>
      <c r="C241" s="30"/>
      <c r="D241" s="63" t="s">
        <v>305</v>
      </c>
      <c r="E241" s="5" t="s">
        <v>310</v>
      </c>
      <c r="F241" s="5" t="s">
        <v>310</v>
      </c>
      <c r="G241" s="5">
        <v>42369</v>
      </c>
      <c r="H241" s="3"/>
      <c r="I241" s="49" t="s">
        <v>310</v>
      </c>
      <c r="J241" s="49" t="s">
        <v>310</v>
      </c>
      <c r="K241" s="49" t="s">
        <v>310</v>
      </c>
      <c r="L241" s="69"/>
      <c r="M241" s="56"/>
      <c r="N241" s="56"/>
      <c r="O241" s="56"/>
      <c r="T241" s="78"/>
    </row>
    <row r="242" spans="1:20" s="10" customFormat="1" ht="96.75" customHeight="1" x14ac:dyDescent="0.2">
      <c r="A242" s="1"/>
      <c r="B242" s="30" t="s">
        <v>245</v>
      </c>
      <c r="C242" s="30"/>
      <c r="D242" s="63" t="s">
        <v>305</v>
      </c>
      <c r="E242" s="5" t="s">
        <v>310</v>
      </c>
      <c r="F242" s="5" t="s">
        <v>310</v>
      </c>
      <c r="G242" s="5">
        <v>42735</v>
      </c>
      <c r="H242" s="3"/>
      <c r="I242" s="49" t="s">
        <v>310</v>
      </c>
      <c r="J242" s="49" t="s">
        <v>310</v>
      </c>
      <c r="K242" s="49" t="s">
        <v>310</v>
      </c>
      <c r="L242" s="69"/>
      <c r="M242" s="56"/>
      <c r="N242" s="56"/>
      <c r="O242" s="56"/>
      <c r="T242" s="78"/>
    </row>
    <row r="243" spans="1:20" s="10" customFormat="1" ht="57" x14ac:dyDescent="0.2">
      <c r="A243" s="1"/>
      <c r="B243" s="29" t="s">
        <v>246</v>
      </c>
      <c r="C243" s="28"/>
      <c r="D243" s="114" t="s">
        <v>305</v>
      </c>
      <c r="E243" s="5">
        <v>41640</v>
      </c>
      <c r="F243" s="3"/>
      <c r="G243" s="5">
        <v>42735</v>
      </c>
      <c r="H243" s="3"/>
      <c r="I243" s="6">
        <f>SUM(I244:I245)</f>
        <v>4922.2089799999994</v>
      </c>
      <c r="J243" s="6">
        <f t="shared" ref="J243:K243" si="43">SUM(J244:J245)</f>
        <v>785.62</v>
      </c>
      <c r="K243" s="34">
        <f t="shared" si="43"/>
        <v>0</v>
      </c>
      <c r="L243" s="69"/>
      <c r="M243" s="56"/>
      <c r="N243" s="56"/>
      <c r="O243" s="56"/>
      <c r="T243" s="78"/>
    </row>
    <row r="244" spans="1:20" s="10" customFormat="1" ht="51" customHeight="1" x14ac:dyDescent="0.2">
      <c r="A244" s="1"/>
      <c r="B244" s="28" t="s">
        <v>247</v>
      </c>
      <c r="C244" s="28"/>
      <c r="D244" s="114"/>
      <c r="E244" s="5">
        <v>41640</v>
      </c>
      <c r="F244" s="5">
        <v>41640</v>
      </c>
      <c r="G244" s="5">
        <v>42735</v>
      </c>
      <c r="H244" s="3"/>
      <c r="I244" s="49">
        <f>1922208.98/1000</f>
        <v>1922.2089799999999</v>
      </c>
      <c r="J244" s="49">
        <v>0</v>
      </c>
      <c r="K244" s="50">
        <v>0</v>
      </c>
      <c r="L244" s="70" t="s">
        <v>342</v>
      </c>
      <c r="M244" s="61" t="s">
        <v>350</v>
      </c>
      <c r="N244" s="61" t="s">
        <v>354</v>
      </c>
      <c r="O244" s="56"/>
      <c r="T244" s="78"/>
    </row>
    <row r="245" spans="1:20" s="10" customFormat="1" ht="98.25" customHeight="1" x14ac:dyDescent="0.2">
      <c r="A245" s="1"/>
      <c r="B245" s="28" t="s">
        <v>248</v>
      </c>
      <c r="C245" s="28"/>
      <c r="D245" s="63" t="s">
        <v>305</v>
      </c>
      <c r="E245" s="5">
        <v>41640</v>
      </c>
      <c r="F245" s="5">
        <v>41640</v>
      </c>
      <c r="G245" s="5">
        <v>42004</v>
      </c>
      <c r="H245" s="3"/>
      <c r="I245" s="49">
        <f>3000000/1000</f>
        <v>3000</v>
      </c>
      <c r="J245" s="49">
        <v>785.62</v>
      </c>
      <c r="K245" s="50">
        <v>0</v>
      </c>
      <c r="L245" s="70" t="s">
        <v>314</v>
      </c>
      <c r="M245" s="48" t="s">
        <v>315</v>
      </c>
      <c r="N245" s="48" t="s">
        <v>330</v>
      </c>
      <c r="O245" s="56"/>
      <c r="T245" s="78"/>
    </row>
    <row r="246" spans="1:20" s="10" customFormat="1" ht="96" customHeight="1" x14ac:dyDescent="0.2">
      <c r="A246" s="1"/>
      <c r="B246" s="30" t="s">
        <v>249</v>
      </c>
      <c r="C246" s="30"/>
      <c r="D246" s="63" t="s">
        <v>305</v>
      </c>
      <c r="E246" s="5" t="s">
        <v>310</v>
      </c>
      <c r="F246" s="5" t="s">
        <v>310</v>
      </c>
      <c r="G246" s="5">
        <v>42369</v>
      </c>
      <c r="H246" s="3"/>
      <c r="I246" s="49" t="s">
        <v>310</v>
      </c>
      <c r="J246" s="49" t="s">
        <v>310</v>
      </c>
      <c r="K246" s="49" t="s">
        <v>310</v>
      </c>
      <c r="L246" s="69"/>
      <c r="M246" s="56"/>
      <c r="N246" s="56"/>
      <c r="O246" s="56"/>
      <c r="T246" s="78"/>
    </row>
    <row r="247" spans="1:20" s="10" customFormat="1" ht="97.5" customHeight="1" x14ac:dyDescent="0.2">
      <c r="A247" s="1"/>
      <c r="B247" s="30" t="s">
        <v>250</v>
      </c>
      <c r="C247" s="30"/>
      <c r="D247" s="63" t="s">
        <v>305</v>
      </c>
      <c r="E247" s="5" t="s">
        <v>310</v>
      </c>
      <c r="F247" s="5" t="s">
        <v>310</v>
      </c>
      <c r="G247" s="5">
        <v>42735</v>
      </c>
      <c r="H247" s="3"/>
      <c r="I247" s="49" t="s">
        <v>310</v>
      </c>
      <c r="J247" s="49" t="s">
        <v>310</v>
      </c>
      <c r="K247" s="49" t="s">
        <v>310</v>
      </c>
      <c r="L247" s="69"/>
      <c r="M247" s="56"/>
      <c r="N247" s="56"/>
      <c r="O247" s="56"/>
      <c r="T247" s="78"/>
    </row>
    <row r="248" spans="1:20" s="10" customFormat="1" ht="42.75" x14ac:dyDescent="0.2">
      <c r="A248" s="1"/>
      <c r="B248" s="29" t="s">
        <v>251</v>
      </c>
      <c r="C248" s="28"/>
      <c r="D248" s="114" t="s">
        <v>305</v>
      </c>
      <c r="E248" s="5">
        <v>41640</v>
      </c>
      <c r="F248" s="3"/>
      <c r="G248" s="5">
        <v>42735</v>
      </c>
      <c r="H248" s="3"/>
      <c r="I248" s="6">
        <f>I249+I250</f>
        <v>3491.05</v>
      </c>
      <c r="J248" s="6">
        <f t="shared" ref="J248:K248" si="44">J249+J250</f>
        <v>351</v>
      </c>
      <c r="K248" s="6">
        <f t="shared" si="44"/>
        <v>0</v>
      </c>
      <c r="L248" s="69"/>
      <c r="M248" s="56"/>
      <c r="N248" s="56"/>
      <c r="O248" s="56"/>
      <c r="T248" s="78"/>
    </row>
    <row r="249" spans="1:20" s="10" customFormat="1" ht="30" x14ac:dyDescent="0.2">
      <c r="A249" s="1"/>
      <c r="B249" s="28" t="s">
        <v>252</v>
      </c>
      <c r="C249" s="28"/>
      <c r="D249" s="114"/>
      <c r="E249" s="5">
        <v>41640</v>
      </c>
      <c r="F249" s="5">
        <v>41640</v>
      </c>
      <c r="G249" s="5">
        <v>42735</v>
      </c>
      <c r="H249" s="3"/>
      <c r="I249" s="49">
        <f>3491050/1000</f>
        <v>3491.05</v>
      </c>
      <c r="J249" s="49">
        <v>351</v>
      </c>
      <c r="K249" s="50">
        <v>0</v>
      </c>
      <c r="L249" s="70" t="s">
        <v>314</v>
      </c>
      <c r="M249" s="48" t="s">
        <v>315</v>
      </c>
      <c r="N249" s="48" t="s">
        <v>331</v>
      </c>
      <c r="O249" s="56"/>
      <c r="T249" s="78"/>
    </row>
    <row r="250" spans="1:20" s="10" customFormat="1" ht="45" x14ac:dyDescent="0.2">
      <c r="A250" s="1"/>
      <c r="B250" s="28" t="s">
        <v>253</v>
      </c>
      <c r="C250" s="28"/>
      <c r="D250" s="114"/>
      <c r="E250" s="5">
        <v>41640</v>
      </c>
      <c r="F250" s="5">
        <v>41640</v>
      </c>
      <c r="G250" s="5">
        <v>42735</v>
      </c>
      <c r="H250" s="3"/>
      <c r="I250" s="49">
        <v>0</v>
      </c>
      <c r="J250" s="49">
        <v>0</v>
      </c>
      <c r="K250" s="50">
        <v>0</v>
      </c>
      <c r="L250" s="69"/>
      <c r="M250" s="56"/>
      <c r="N250" s="56"/>
      <c r="O250" s="56"/>
      <c r="T250" s="78"/>
    </row>
    <row r="251" spans="1:20" s="10" customFormat="1" ht="98.25" customHeight="1" x14ac:dyDescent="0.2">
      <c r="A251" s="1"/>
      <c r="B251" s="30" t="s">
        <v>254</v>
      </c>
      <c r="C251" s="30"/>
      <c r="D251" s="63" t="s">
        <v>305</v>
      </c>
      <c r="E251" s="5" t="s">
        <v>310</v>
      </c>
      <c r="F251" s="5" t="s">
        <v>310</v>
      </c>
      <c r="G251" s="5">
        <v>42004</v>
      </c>
      <c r="H251" s="3"/>
      <c r="I251" s="49" t="s">
        <v>310</v>
      </c>
      <c r="J251" s="49" t="s">
        <v>310</v>
      </c>
      <c r="K251" s="49" t="s">
        <v>310</v>
      </c>
      <c r="L251" s="69"/>
      <c r="M251" s="56"/>
      <c r="N251" s="56"/>
      <c r="O251" s="56"/>
      <c r="T251" s="78"/>
    </row>
    <row r="252" spans="1:20" s="10" customFormat="1" ht="96" customHeight="1" x14ac:dyDescent="0.2">
      <c r="A252" s="1"/>
      <c r="B252" s="30" t="s">
        <v>255</v>
      </c>
      <c r="C252" s="30"/>
      <c r="D252" s="63" t="s">
        <v>305</v>
      </c>
      <c r="E252" s="5" t="s">
        <v>310</v>
      </c>
      <c r="F252" s="5" t="s">
        <v>310</v>
      </c>
      <c r="G252" s="5">
        <v>42369</v>
      </c>
      <c r="H252" s="3"/>
      <c r="I252" s="49" t="s">
        <v>310</v>
      </c>
      <c r="J252" s="49" t="s">
        <v>310</v>
      </c>
      <c r="K252" s="49" t="s">
        <v>310</v>
      </c>
      <c r="L252" s="69"/>
      <c r="M252" s="56"/>
      <c r="N252" s="56"/>
      <c r="O252" s="56"/>
      <c r="T252" s="78"/>
    </row>
    <row r="253" spans="1:20" s="10" customFormat="1" ht="98.25" customHeight="1" x14ac:dyDescent="0.2">
      <c r="A253" s="1"/>
      <c r="B253" s="30" t="s">
        <v>256</v>
      </c>
      <c r="C253" s="30"/>
      <c r="D253" s="63" t="s">
        <v>305</v>
      </c>
      <c r="E253" s="5" t="s">
        <v>310</v>
      </c>
      <c r="F253" s="5" t="s">
        <v>310</v>
      </c>
      <c r="G253" s="5">
        <v>42735</v>
      </c>
      <c r="H253" s="3"/>
      <c r="I253" s="49" t="s">
        <v>310</v>
      </c>
      <c r="J253" s="49" t="s">
        <v>310</v>
      </c>
      <c r="K253" s="49" t="s">
        <v>310</v>
      </c>
      <c r="L253" s="69"/>
      <c r="M253" s="56"/>
      <c r="N253" s="56"/>
      <c r="O253" s="56"/>
      <c r="T253" s="78"/>
    </row>
    <row r="254" spans="1:20" s="10" customFormat="1" ht="18.75" x14ac:dyDescent="0.2">
      <c r="A254" s="1"/>
      <c r="B254" s="95" t="s">
        <v>257</v>
      </c>
      <c r="C254" s="95"/>
      <c r="D254" s="83"/>
      <c r="E254" s="84"/>
      <c r="F254" s="84"/>
      <c r="G254" s="84"/>
      <c r="H254" s="84"/>
      <c r="I254" s="86">
        <f>I248+I243+I237+I233+I227+I221+I215+I209</f>
        <v>29028.156139999999</v>
      </c>
      <c r="J254" s="86">
        <f t="shared" ref="J254:K254" si="45">J248+J243+J237+J233+J227+J221+J215+J209</f>
        <v>8285.2899999999991</v>
      </c>
      <c r="K254" s="87">
        <f t="shared" si="45"/>
        <v>0</v>
      </c>
      <c r="L254" s="69"/>
      <c r="M254" s="56"/>
      <c r="N254" s="56"/>
      <c r="O254" s="56"/>
      <c r="T254" s="78"/>
    </row>
    <row r="255" spans="1:20" s="10" customFormat="1" ht="18.75" customHeight="1" x14ac:dyDescent="0.2">
      <c r="A255" s="1"/>
      <c r="B255" s="109" t="s">
        <v>258</v>
      </c>
      <c r="C255" s="110"/>
      <c r="D255" s="110"/>
      <c r="E255" s="110"/>
      <c r="F255" s="110"/>
      <c r="G255" s="110"/>
      <c r="H255" s="110"/>
      <c r="I255" s="110"/>
      <c r="J255" s="110"/>
      <c r="K255" s="110"/>
      <c r="L255" s="90"/>
      <c r="M255" s="90"/>
      <c r="N255" s="91"/>
      <c r="O255" s="56"/>
      <c r="T255" s="78"/>
    </row>
    <row r="256" spans="1:20" s="10" customFormat="1" ht="42.75" x14ac:dyDescent="0.2">
      <c r="A256" s="1"/>
      <c r="B256" s="29" t="s">
        <v>259</v>
      </c>
      <c r="C256" s="28"/>
      <c r="D256" s="114" t="s">
        <v>305</v>
      </c>
      <c r="E256" s="5">
        <v>41640</v>
      </c>
      <c r="F256" s="3"/>
      <c r="G256" s="5">
        <v>42735</v>
      </c>
      <c r="H256" s="3"/>
      <c r="I256" s="6">
        <f>I257</f>
        <v>7411.7</v>
      </c>
      <c r="J256" s="6">
        <f t="shared" ref="J256:K256" si="46">J257</f>
        <v>1854</v>
      </c>
      <c r="K256" s="34">
        <f t="shared" si="46"/>
        <v>800</v>
      </c>
      <c r="L256" s="69"/>
      <c r="M256" s="56"/>
      <c r="N256" s="56"/>
      <c r="O256" s="56"/>
      <c r="T256" s="78"/>
    </row>
    <row r="257" spans="1:20" ht="120" x14ac:dyDescent="0.2">
      <c r="A257" s="3"/>
      <c r="B257" s="39" t="s">
        <v>301</v>
      </c>
      <c r="C257" s="39"/>
      <c r="D257" s="114"/>
      <c r="E257" s="5">
        <v>41640</v>
      </c>
      <c r="F257" s="5">
        <v>41640</v>
      </c>
      <c r="G257" s="5">
        <v>42735</v>
      </c>
      <c r="H257" s="3"/>
      <c r="I257" s="49">
        <v>7411.7</v>
      </c>
      <c r="J257" s="49">
        <v>1854</v>
      </c>
      <c r="K257" s="50">
        <v>800</v>
      </c>
      <c r="L257" s="70" t="s">
        <v>341</v>
      </c>
      <c r="M257" s="48" t="s">
        <v>350</v>
      </c>
      <c r="N257" s="48" t="s">
        <v>349</v>
      </c>
      <c r="O257" s="48"/>
      <c r="T257" s="78"/>
    </row>
    <row r="258" spans="1:20" s="10" customFormat="1" ht="96" customHeight="1" x14ac:dyDescent="0.2">
      <c r="A258" s="1"/>
      <c r="B258" s="30" t="s">
        <v>260</v>
      </c>
      <c r="C258" s="28" t="s">
        <v>2</v>
      </c>
      <c r="D258" s="63" t="s">
        <v>305</v>
      </c>
      <c r="E258" s="3" t="s">
        <v>310</v>
      </c>
      <c r="F258" s="3" t="s">
        <v>310</v>
      </c>
      <c r="G258" s="5">
        <v>42004</v>
      </c>
      <c r="H258" s="3"/>
      <c r="I258" s="49" t="s">
        <v>310</v>
      </c>
      <c r="J258" s="49" t="s">
        <v>310</v>
      </c>
      <c r="K258" s="49" t="s">
        <v>310</v>
      </c>
      <c r="L258" s="69"/>
      <c r="M258" s="56"/>
      <c r="N258" s="56"/>
      <c r="O258" s="56"/>
      <c r="T258" s="78"/>
    </row>
    <row r="259" spans="1:20" s="10" customFormat="1" ht="95.25" customHeight="1" x14ac:dyDescent="0.2">
      <c r="A259" s="1"/>
      <c r="B259" s="30" t="s">
        <v>261</v>
      </c>
      <c r="C259" s="28" t="s">
        <v>2</v>
      </c>
      <c r="D259" s="63" t="s">
        <v>305</v>
      </c>
      <c r="E259" s="3" t="s">
        <v>310</v>
      </c>
      <c r="F259" s="3" t="s">
        <v>310</v>
      </c>
      <c r="G259" s="5">
        <v>42369</v>
      </c>
      <c r="H259" s="3"/>
      <c r="I259" s="49" t="s">
        <v>310</v>
      </c>
      <c r="J259" s="49" t="s">
        <v>310</v>
      </c>
      <c r="K259" s="49" t="s">
        <v>310</v>
      </c>
      <c r="L259" s="69"/>
      <c r="M259" s="56"/>
      <c r="N259" s="56"/>
      <c r="O259" s="56"/>
      <c r="T259" s="78"/>
    </row>
    <row r="260" spans="1:20" s="10" customFormat="1" ht="96" customHeight="1" x14ac:dyDescent="0.2">
      <c r="A260" s="1"/>
      <c r="B260" s="30" t="s">
        <v>262</v>
      </c>
      <c r="C260" s="28" t="s">
        <v>2</v>
      </c>
      <c r="D260" s="63" t="s">
        <v>305</v>
      </c>
      <c r="E260" s="3" t="s">
        <v>310</v>
      </c>
      <c r="F260" s="3" t="s">
        <v>310</v>
      </c>
      <c r="G260" s="5">
        <v>42735</v>
      </c>
      <c r="H260" s="3"/>
      <c r="I260" s="49" t="s">
        <v>310</v>
      </c>
      <c r="J260" s="49" t="s">
        <v>310</v>
      </c>
      <c r="K260" s="49" t="s">
        <v>310</v>
      </c>
      <c r="L260" s="69"/>
      <c r="M260" s="56"/>
      <c r="N260" s="56"/>
      <c r="O260" s="56"/>
      <c r="T260" s="78"/>
    </row>
    <row r="261" spans="1:20" s="10" customFormat="1" ht="71.25" x14ac:dyDescent="0.2">
      <c r="A261" s="1"/>
      <c r="B261" s="29" t="s">
        <v>263</v>
      </c>
      <c r="C261" s="28"/>
      <c r="D261" s="114" t="s">
        <v>305</v>
      </c>
      <c r="E261" s="5">
        <v>41640</v>
      </c>
      <c r="F261" s="3"/>
      <c r="G261" s="5">
        <v>42735</v>
      </c>
      <c r="H261" s="3"/>
      <c r="I261" s="6">
        <f>I262+I263</f>
        <v>4015.538</v>
      </c>
      <c r="J261" s="6">
        <f t="shared" ref="J261:K261" si="47">J262+J263</f>
        <v>1606.22</v>
      </c>
      <c r="K261" s="34">
        <f t="shared" si="47"/>
        <v>0</v>
      </c>
      <c r="L261" s="69"/>
      <c r="M261" s="56"/>
      <c r="N261" s="56"/>
      <c r="O261" s="56"/>
      <c r="T261" s="78"/>
    </row>
    <row r="262" spans="1:20" ht="30" x14ac:dyDescent="0.2">
      <c r="A262" s="3"/>
      <c r="B262" s="39" t="s">
        <v>264</v>
      </c>
      <c r="C262" s="39"/>
      <c r="D262" s="114"/>
      <c r="E262" s="5">
        <v>41640</v>
      </c>
      <c r="F262" s="5">
        <v>41640</v>
      </c>
      <c r="G262" s="5">
        <v>42735</v>
      </c>
      <c r="H262" s="3"/>
      <c r="I262" s="59">
        <f>1990800/1000</f>
        <v>1990.8</v>
      </c>
      <c r="J262" s="41">
        <v>796.32</v>
      </c>
      <c r="K262" s="50">
        <v>0</v>
      </c>
      <c r="L262" s="70" t="s">
        <v>314</v>
      </c>
      <c r="M262" s="48"/>
      <c r="N262" s="48"/>
      <c r="O262" s="48"/>
      <c r="P262" s="73"/>
      <c r="T262" s="78"/>
    </row>
    <row r="263" spans="1:20" s="10" customFormat="1" ht="60" x14ac:dyDescent="0.2">
      <c r="A263" s="1"/>
      <c r="B263" s="28" t="s">
        <v>265</v>
      </c>
      <c r="C263" s="28"/>
      <c r="D263" s="114"/>
      <c r="E263" s="5">
        <v>41640</v>
      </c>
      <c r="F263" s="5">
        <v>41640</v>
      </c>
      <c r="G263" s="5">
        <v>42004</v>
      </c>
      <c r="H263" s="3"/>
      <c r="I263" s="59">
        <f>2024738/1000</f>
        <v>2024.7380000000001</v>
      </c>
      <c r="J263" s="41">
        <v>809.9</v>
      </c>
      <c r="K263" s="50">
        <v>0</v>
      </c>
      <c r="L263" s="70" t="s">
        <v>314</v>
      </c>
      <c r="M263" s="56"/>
      <c r="N263" s="56"/>
      <c r="O263" s="56"/>
      <c r="P263" s="74"/>
      <c r="T263" s="78"/>
    </row>
    <row r="264" spans="1:20" s="10" customFormat="1" ht="93.75" customHeight="1" x14ac:dyDescent="0.2">
      <c r="A264" s="1"/>
      <c r="B264" s="30" t="s">
        <v>266</v>
      </c>
      <c r="C264" s="28"/>
      <c r="D264" s="63" t="s">
        <v>305</v>
      </c>
      <c r="E264" s="3" t="s">
        <v>310</v>
      </c>
      <c r="F264" s="3" t="s">
        <v>310</v>
      </c>
      <c r="G264" s="5">
        <v>42004</v>
      </c>
      <c r="H264" s="3"/>
      <c r="I264" s="49" t="s">
        <v>310</v>
      </c>
      <c r="J264" s="49" t="s">
        <v>310</v>
      </c>
      <c r="K264" s="49" t="s">
        <v>310</v>
      </c>
      <c r="L264" s="69"/>
      <c r="M264" s="56"/>
      <c r="N264" s="56"/>
      <c r="O264" s="56"/>
      <c r="T264" s="78"/>
    </row>
    <row r="265" spans="1:20" s="10" customFormat="1" ht="93.75" customHeight="1" x14ac:dyDescent="0.2">
      <c r="A265" s="1"/>
      <c r="B265" s="30" t="s">
        <v>267</v>
      </c>
      <c r="C265" s="28"/>
      <c r="D265" s="63" t="s">
        <v>305</v>
      </c>
      <c r="E265" s="3" t="s">
        <v>310</v>
      </c>
      <c r="F265" s="3" t="s">
        <v>310</v>
      </c>
      <c r="G265" s="5">
        <v>42369</v>
      </c>
      <c r="H265" s="3"/>
      <c r="I265" s="49" t="s">
        <v>310</v>
      </c>
      <c r="J265" s="49" t="s">
        <v>310</v>
      </c>
      <c r="K265" s="49" t="s">
        <v>310</v>
      </c>
      <c r="L265" s="69"/>
      <c r="M265" s="56"/>
      <c r="N265" s="56"/>
      <c r="O265" s="56"/>
      <c r="T265" s="78"/>
    </row>
    <row r="266" spans="1:20" s="10" customFormat="1" ht="96" customHeight="1" x14ac:dyDescent="0.2">
      <c r="A266" s="1"/>
      <c r="B266" s="30" t="s">
        <v>268</v>
      </c>
      <c r="C266" s="28"/>
      <c r="D266" s="63" t="s">
        <v>305</v>
      </c>
      <c r="E266" s="3" t="s">
        <v>310</v>
      </c>
      <c r="F266" s="3" t="s">
        <v>310</v>
      </c>
      <c r="G266" s="5">
        <v>42735</v>
      </c>
      <c r="H266" s="3"/>
      <c r="I266" s="49" t="s">
        <v>310</v>
      </c>
      <c r="J266" s="49" t="s">
        <v>310</v>
      </c>
      <c r="K266" s="49" t="s">
        <v>310</v>
      </c>
      <c r="L266" s="69"/>
      <c r="M266" s="56"/>
      <c r="N266" s="56"/>
      <c r="O266" s="56"/>
      <c r="T266" s="78"/>
    </row>
    <row r="267" spans="1:20" s="10" customFormat="1" ht="18.75" x14ac:dyDescent="0.2">
      <c r="A267" s="1"/>
      <c r="B267" s="144" t="s">
        <v>269</v>
      </c>
      <c r="C267" s="144"/>
      <c r="D267" s="144"/>
      <c r="E267" s="144"/>
      <c r="F267" s="144"/>
      <c r="G267" s="144"/>
      <c r="H267" s="144"/>
      <c r="I267" s="86">
        <f>I256+I261</f>
        <v>11427.237999999999</v>
      </c>
      <c r="J267" s="86">
        <f t="shared" ref="J267:K267" si="48">J256+J261</f>
        <v>3460.2200000000003</v>
      </c>
      <c r="K267" s="87">
        <f t="shared" si="48"/>
        <v>800</v>
      </c>
      <c r="L267" s="69"/>
      <c r="M267" s="56"/>
      <c r="N267" s="56"/>
      <c r="O267" s="56"/>
      <c r="T267" s="78"/>
    </row>
    <row r="268" spans="1:20" s="10" customFormat="1" ht="16.5" customHeight="1" x14ac:dyDescent="0.2">
      <c r="A268" s="1"/>
      <c r="B268" s="109" t="s">
        <v>270</v>
      </c>
      <c r="C268" s="110"/>
      <c r="D268" s="110"/>
      <c r="E268" s="110"/>
      <c r="F268" s="110"/>
      <c r="G268" s="110"/>
      <c r="H268" s="110"/>
      <c r="I268" s="110"/>
      <c r="J268" s="110"/>
      <c r="K268" s="110"/>
      <c r="L268" s="90"/>
      <c r="M268" s="90"/>
      <c r="N268" s="91"/>
      <c r="O268" s="56"/>
      <c r="T268" s="78"/>
    </row>
    <row r="269" spans="1:20" s="10" customFormat="1" ht="99.75" x14ac:dyDescent="0.2">
      <c r="A269" s="1"/>
      <c r="B269" s="29" t="s">
        <v>271</v>
      </c>
      <c r="C269" s="29"/>
      <c r="D269" s="114" t="s">
        <v>305</v>
      </c>
      <c r="E269" s="19">
        <v>41640</v>
      </c>
      <c r="F269" s="3"/>
      <c r="G269" s="19">
        <v>42735</v>
      </c>
      <c r="H269" s="3"/>
      <c r="I269" s="6">
        <f>I270</f>
        <v>23126.760440000002</v>
      </c>
      <c r="J269" s="6">
        <f t="shared" ref="J269:K269" si="49">J270</f>
        <v>3154.42</v>
      </c>
      <c r="K269" s="34">
        <f t="shared" si="49"/>
        <v>0</v>
      </c>
      <c r="L269" s="69"/>
      <c r="M269" s="56"/>
      <c r="N269" s="56"/>
      <c r="O269" s="56"/>
      <c r="T269" s="78"/>
    </row>
    <row r="270" spans="1:20" s="10" customFormat="1" ht="75" x14ac:dyDescent="0.2">
      <c r="A270" s="1"/>
      <c r="B270" s="28" t="s">
        <v>272</v>
      </c>
      <c r="C270" s="28"/>
      <c r="D270" s="114"/>
      <c r="E270" s="5">
        <v>41640</v>
      </c>
      <c r="F270" s="5">
        <v>41640</v>
      </c>
      <c r="G270" s="5">
        <v>42735</v>
      </c>
      <c r="H270" s="3"/>
      <c r="I270" s="8">
        <f>23126760.44/1000</f>
        <v>23126.760440000002</v>
      </c>
      <c r="J270" s="49">
        <v>3154.42</v>
      </c>
      <c r="K270" s="50">
        <v>0</v>
      </c>
      <c r="L270" s="69"/>
      <c r="M270" s="56"/>
      <c r="N270" s="56"/>
      <c r="O270" s="56"/>
      <c r="T270" s="78"/>
    </row>
    <row r="271" spans="1:20" s="10" customFormat="1" ht="42.75" customHeight="1" x14ac:dyDescent="0.2">
      <c r="A271" s="1"/>
      <c r="B271" s="29" t="s">
        <v>273</v>
      </c>
      <c r="C271" s="115"/>
      <c r="D271" s="141" t="s">
        <v>305</v>
      </c>
      <c r="E271" s="119">
        <v>41640</v>
      </c>
      <c r="F271" s="119">
        <v>41640</v>
      </c>
      <c r="G271" s="119">
        <v>42735</v>
      </c>
      <c r="H271" s="122"/>
      <c r="I271" s="96">
        <f>I272</f>
        <v>61005.404710000003</v>
      </c>
      <c r="J271" s="6">
        <f t="shared" ref="J271" si="50">J272</f>
        <v>17624.5</v>
      </c>
      <c r="K271" s="34">
        <f>K272+K273+K274+K275</f>
        <v>6520.3899999999994</v>
      </c>
      <c r="L271" s="69"/>
      <c r="M271" s="56"/>
      <c r="N271" s="56"/>
      <c r="O271" s="56"/>
      <c r="T271" s="78"/>
    </row>
    <row r="272" spans="1:20" s="10" customFormat="1" ht="30" x14ac:dyDescent="0.2">
      <c r="A272" s="115"/>
      <c r="B272" s="28" t="s">
        <v>335</v>
      </c>
      <c r="C272" s="116"/>
      <c r="D272" s="142"/>
      <c r="E272" s="120"/>
      <c r="F272" s="120"/>
      <c r="G272" s="120"/>
      <c r="H272" s="123"/>
      <c r="I272" s="127">
        <f>61005404.71/1000</f>
        <v>61005.404710000003</v>
      </c>
      <c r="J272" s="127">
        <v>17624.5</v>
      </c>
      <c r="K272" s="50">
        <v>0</v>
      </c>
      <c r="L272" s="69"/>
      <c r="M272" s="56"/>
      <c r="N272" s="56"/>
      <c r="O272" s="56"/>
      <c r="T272" s="78"/>
    </row>
    <row r="273" spans="1:20" s="10" customFormat="1" ht="37.5" customHeight="1" x14ac:dyDescent="0.2">
      <c r="A273" s="116"/>
      <c r="B273" s="28" t="s">
        <v>334</v>
      </c>
      <c r="C273" s="116"/>
      <c r="D273" s="142"/>
      <c r="E273" s="120"/>
      <c r="F273" s="120"/>
      <c r="G273" s="120"/>
      <c r="H273" s="123"/>
      <c r="I273" s="128"/>
      <c r="J273" s="128"/>
      <c r="K273" s="50">
        <v>365.36</v>
      </c>
      <c r="L273" s="146" t="s">
        <v>314</v>
      </c>
      <c r="M273" s="145" t="s">
        <v>315</v>
      </c>
      <c r="N273" s="48" t="s">
        <v>336</v>
      </c>
      <c r="O273" s="48"/>
      <c r="T273" s="78"/>
    </row>
    <row r="274" spans="1:20" s="10" customFormat="1" ht="30" x14ac:dyDescent="0.2">
      <c r="A274" s="116"/>
      <c r="B274" s="28" t="s">
        <v>333</v>
      </c>
      <c r="C274" s="116"/>
      <c r="D274" s="142"/>
      <c r="E274" s="120"/>
      <c r="F274" s="120"/>
      <c r="G274" s="120"/>
      <c r="H274" s="123"/>
      <c r="I274" s="128"/>
      <c r="J274" s="128"/>
      <c r="K274" s="50">
        <v>0</v>
      </c>
      <c r="L274" s="147"/>
      <c r="M274" s="145"/>
      <c r="N274" s="48" t="s">
        <v>336</v>
      </c>
      <c r="O274" s="48"/>
      <c r="T274" s="78"/>
    </row>
    <row r="275" spans="1:20" s="10" customFormat="1" ht="30" x14ac:dyDescent="0.2">
      <c r="A275" s="117"/>
      <c r="B275" s="28" t="s">
        <v>332</v>
      </c>
      <c r="C275" s="117"/>
      <c r="D275" s="143"/>
      <c r="E275" s="121"/>
      <c r="F275" s="121"/>
      <c r="G275" s="121"/>
      <c r="H275" s="124"/>
      <c r="I275" s="129"/>
      <c r="J275" s="129"/>
      <c r="K275" s="50">
        <v>6155.03</v>
      </c>
      <c r="L275" s="148"/>
      <c r="M275" s="145"/>
      <c r="N275" s="48" t="s">
        <v>327</v>
      </c>
      <c r="O275" s="48"/>
      <c r="T275" s="78"/>
    </row>
    <row r="276" spans="1:20" s="10" customFormat="1" ht="99" customHeight="1" x14ac:dyDescent="0.2">
      <c r="A276" s="1"/>
      <c r="B276" s="30" t="s">
        <v>274</v>
      </c>
      <c r="C276" s="28"/>
      <c r="D276" s="63" t="s">
        <v>305</v>
      </c>
      <c r="E276" s="3" t="s">
        <v>310</v>
      </c>
      <c r="F276" s="3" t="s">
        <v>310</v>
      </c>
      <c r="G276" s="5">
        <v>42004</v>
      </c>
      <c r="H276" s="3"/>
      <c r="I276" s="49" t="s">
        <v>310</v>
      </c>
      <c r="J276" s="49" t="s">
        <v>310</v>
      </c>
      <c r="K276" s="49" t="s">
        <v>310</v>
      </c>
      <c r="L276" s="69"/>
      <c r="M276" s="56"/>
      <c r="N276" s="56"/>
      <c r="O276" s="56"/>
      <c r="T276" s="78"/>
    </row>
    <row r="277" spans="1:20" s="10" customFormat="1" ht="97.5" customHeight="1" x14ac:dyDescent="0.2">
      <c r="A277" s="1"/>
      <c r="B277" s="30" t="s">
        <v>275</v>
      </c>
      <c r="C277" s="28"/>
      <c r="D277" s="63" t="s">
        <v>305</v>
      </c>
      <c r="E277" s="3" t="s">
        <v>310</v>
      </c>
      <c r="F277" s="3" t="s">
        <v>310</v>
      </c>
      <c r="G277" s="5">
        <v>42369</v>
      </c>
      <c r="H277" s="3"/>
      <c r="I277" s="49" t="s">
        <v>310</v>
      </c>
      <c r="J277" s="49" t="s">
        <v>310</v>
      </c>
      <c r="K277" s="49" t="s">
        <v>310</v>
      </c>
      <c r="L277" s="69"/>
      <c r="M277" s="56"/>
      <c r="N277" s="56"/>
      <c r="O277" s="56"/>
      <c r="T277" s="78"/>
    </row>
    <row r="278" spans="1:20" s="10" customFormat="1" ht="94.5" customHeight="1" x14ac:dyDescent="0.2">
      <c r="A278" s="1"/>
      <c r="B278" s="30" t="s">
        <v>276</v>
      </c>
      <c r="C278" s="28"/>
      <c r="D278" s="63" t="s">
        <v>305</v>
      </c>
      <c r="E278" s="3" t="s">
        <v>310</v>
      </c>
      <c r="F278" s="3" t="s">
        <v>310</v>
      </c>
      <c r="G278" s="5">
        <v>42735</v>
      </c>
      <c r="H278" s="3"/>
      <c r="I278" s="49" t="s">
        <v>310</v>
      </c>
      <c r="J278" s="49" t="s">
        <v>310</v>
      </c>
      <c r="K278" s="49" t="s">
        <v>310</v>
      </c>
      <c r="L278" s="69"/>
      <c r="M278" s="56"/>
      <c r="N278" s="56"/>
      <c r="O278" s="56"/>
      <c r="T278" s="78"/>
    </row>
    <row r="279" spans="1:20" s="10" customFormat="1" ht="42.75" x14ac:dyDescent="0.2">
      <c r="A279" s="1"/>
      <c r="B279" s="29" t="s">
        <v>277</v>
      </c>
      <c r="C279" s="28"/>
      <c r="D279" s="114" t="s">
        <v>305</v>
      </c>
      <c r="E279" s="5">
        <v>41640</v>
      </c>
      <c r="F279" s="3"/>
      <c r="G279" s="5">
        <v>42735</v>
      </c>
      <c r="H279" s="3"/>
      <c r="I279" s="6">
        <f>I280</f>
        <v>13633.66005</v>
      </c>
      <c r="J279" s="6">
        <f t="shared" ref="J279:K279" si="51">J280</f>
        <v>3316.01</v>
      </c>
      <c r="K279" s="34">
        <f t="shared" si="51"/>
        <v>0</v>
      </c>
      <c r="L279" s="69"/>
      <c r="M279" s="56"/>
      <c r="N279" s="56"/>
      <c r="O279" s="56"/>
      <c r="T279" s="78"/>
    </row>
    <row r="280" spans="1:20" s="10" customFormat="1" ht="150" x14ac:dyDescent="0.2">
      <c r="A280" s="1"/>
      <c r="B280" s="28" t="s">
        <v>302</v>
      </c>
      <c r="C280" s="28"/>
      <c r="D280" s="114"/>
      <c r="E280" s="5">
        <v>41640</v>
      </c>
      <c r="F280" s="5">
        <v>41640</v>
      </c>
      <c r="G280" s="5">
        <v>42735</v>
      </c>
      <c r="H280" s="3"/>
      <c r="I280" s="49">
        <f>13633660.05/1000</f>
        <v>13633.66005</v>
      </c>
      <c r="J280" s="49">
        <v>3316.01</v>
      </c>
      <c r="K280" s="50">
        <v>0</v>
      </c>
      <c r="L280" s="70" t="s">
        <v>342</v>
      </c>
      <c r="M280" s="61" t="s">
        <v>350</v>
      </c>
      <c r="N280" s="61" t="s">
        <v>355</v>
      </c>
      <c r="O280" s="56"/>
      <c r="T280" s="78"/>
    </row>
    <row r="281" spans="1:20" s="10" customFormat="1" ht="96" customHeight="1" x14ac:dyDescent="0.2">
      <c r="A281" s="1"/>
      <c r="B281" s="30" t="s">
        <v>278</v>
      </c>
      <c r="C281" s="28"/>
      <c r="D281" s="63" t="s">
        <v>305</v>
      </c>
      <c r="E281" s="3" t="s">
        <v>310</v>
      </c>
      <c r="F281" s="3" t="s">
        <v>310</v>
      </c>
      <c r="G281" s="5">
        <v>42004</v>
      </c>
      <c r="H281" s="3"/>
      <c r="I281" s="49" t="s">
        <v>310</v>
      </c>
      <c r="J281" s="49" t="s">
        <v>310</v>
      </c>
      <c r="K281" s="49" t="s">
        <v>310</v>
      </c>
      <c r="L281" s="69"/>
      <c r="M281" s="56"/>
      <c r="N281" s="56"/>
      <c r="O281" s="56"/>
      <c r="T281" s="78"/>
    </row>
    <row r="282" spans="1:20" s="10" customFormat="1" ht="95.25" customHeight="1" x14ac:dyDescent="0.2">
      <c r="A282" s="1"/>
      <c r="B282" s="30" t="s">
        <v>279</v>
      </c>
      <c r="C282" s="28"/>
      <c r="D282" s="63" t="s">
        <v>305</v>
      </c>
      <c r="E282" s="3" t="s">
        <v>310</v>
      </c>
      <c r="F282" s="3" t="s">
        <v>310</v>
      </c>
      <c r="G282" s="5">
        <v>42369</v>
      </c>
      <c r="H282" s="3"/>
      <c r="I282" s="49" t="s">
        <v>310</v>
      </c>
      <c r="J282" s="49" t="s">
        <v>310</v>
      </c>
      <c r="K282" s="49" t="s">
        <v>310</v>
      </c>
      <c r="L282" s="69"/>
      <c r="M282" s="56"/>
      <c r="N282" s="56"/>
      <c r="O282" s="56"/>
      <c r="T282" s="78"/>
    </row>
    <row r="283" spans="1:20" s="10" customFormat="1" ht="93" customHeight="1" x14ac:dyDescent="0.2">
      <c r="A283" s="1"/>
      <c r="B283" s="30" t="s">
        <v>280</v>
      </c>
      <c r="C283" s="28"/>
      <c r="D283" s="63" t="s">
        <v>305</v>
      </c>
      <c r="E283" s="3" t="s">
        <v>310</v>
      </c>
      <c r="F283" s="3" t="s">
        <v>310</v>
      </c>
      <c r="G283" s="5">
        <v>42735</v>
      </c>
      <c r="H283" s="3"/>
      <c r="I283" s="49" t="s">
        <v>310</v>
      </c>
      <c r="J283" s="49" t="s">
        <v>310</v>
      </c>
      <c r="K283" s="49" t="s">
        <v>310</v>
      </c>
      <c r="L283" s="69"/>
      <c r="M283" s="56"/>
      <c r="N283" s="56"/>
      <c r="O283" s="56"/>
      <c r="T283" s="78"/>
    </row>
    <row r="284" spans="1:20" s="10" customFormat="1" ht="42.75" x14ac:dyDescent="0.2">
      <c r="A284" s="1"/>
      <c r="B284" s="29" t="s">
        <v>281</v>
      </c>
      <c r="C284" s="28"/>
      <c r="D284" s="114" t="s">
        <v>305</v>
      </c>
      <c r="E284" s="5">
        <v>41640</v>
      </c>
      <c r="F284" s="3"/>
      <c r="G284" s="5">
        <v>42735</v>
      </c>
      <c r="H284" s="3"/>
      <c r="I284" s="6">
        <f>I285</f>
        <v>27578.380499999999</v>
      </c>
      <c r="J284" s="6">
        <f t="shared" ref="J284:K284" si="52">J285</f>
        <v>6640.1</v>
      </c>
      <c r="K284" s="34">
        <f t="shared" si="52"/>
        <v>4093</v>
      </c>
      <c r="L284" s="69"/>
      <c r="M284" s="56"/>
      <c r="N284" s="56"/>
      <c r="O284" s="56"/>
      <c r="T284" s="78"/>
    </row>
    <row r="285" spans="1:20" ht="135" x14ac:dyDescent="0.2">
      <c r="A285" s="3"/>
      <c r="B285" s="39" t="s">
        <v>303</v>
      </c>
      <c r="C285" s="39"/>
      <c r="D285" s="114"/>
      <c r="E285" s="5">
        <v>41640</v>
      </c>
      <c r="F285" s="5">
        <v>41640</v>
      </c>
      <c r="G285" s="5">
        <v>42735</v>
      </c>
      <c r="H285" s="3"/>
      <c r="I285" s="49">
        <f>27578380.5/1000</f>
        <v>27578.380499999999</v>
      </c>
      <c r="J285" s="49">
        <v>6640.1</v>
      </c>
      <c r="K285" s="50">
        <v>4093</v>
      </c>
      <c r="L285" s="70" t="s">
        <v>341</v>
      </c>
      <c r="M285" s="48" t="s">
        <v>350</v>
      </c>
      <c r="N285" s="48" t="s">
        <v>351</v>
      </c>
      <c r="O285" s="48"/>
      <c r="T285" s="78"/>
    </row>
    <row r="286" spans="1:20" s="10" customFormat="1" ht="94.5" customHeight="1" x14ac:dyDescent="0.2">
      <c r="A286" s="1"/>
      <c r="B286" s="30" t="s">
        <v>282</v>
      </c>
      <c r="C286" s="28"/>
      <c r="D286" s="63" t="s">
        <v>305</v>
      </c>
      <c r="E286" s="3" t="s">
        <v>310</v>
      </c>
      <c r="F286" s="3" t="s">
        <v>310</v>
      </c>
      <c r="G286" s="5">
        <v>42004</v>
      </c>
      <c r="H286" s="3"/>
      <c r="I286" s="49" t="s">
        <v>310</v>
      </c>
      <c r="J286" s="49" t="s">
        <v>310</v>
      </c>
      <c r="K286" s="49" t="s">
        <v>310</v>
      </c>
      <c r="L286" s="69"/>
      <c r="M286" s="56"/>
      <c r="N286" s="56"/>
      <c r="O286" s="56"/>
      <c r="T286" s="78"/>
    </row>
    <row r="287" spans="1:20" s="10" customFormat="1" ht="90.75" customHeight="1" x14ac:dyDescent="0.2">
      <c r="A287" s="1"/>
      <c r="B287" s="30" t="s">
        <v>283</v>
      </c>
      <c r="C287" s="28"/>
      <c r="D287" s="63" t="s">
        <v>305</v>
      </c>
      <c r="E287" s="3" t="s">
        <v>310</v>
      </c>
      <c r="F287" s="3" t="s">
        <v>310</v>
      </c>
      <c r="G287" s="5">
        <v>42369</v>
      </c>
      <c r="H287" s="3"/>
      <c r="I287" s="49" t="s">
        <v>310</v>
      </c>
      <c r="J287" s="49" t="s">
        <v>310</v>
      </c>
      <c r="K287" s="49" t="s">
        <v>310</v>
      </c>
      <c r="L287" s="69"/>
      <c r="M287" s="56"/>
      <c r="N287" s="56"/>
      <c r="O287" s="56"/>
      <c r="T287" s="78"/>
    </row>
    <row r="288" spans="1:20" s="10" customFormat="1" ht="94.5" customHeight="1" x14ac:dyDescent="0.2">
      <c r="A288" s="1"/>
      <c r="B288" s="30" t="s">
        <v>284</v>
      </c>
      <c r="C288" s="28"/>
      <c r="D288" s="63" t="s">
        <v>305</v>
      </c>
      <c r="E288" s="3" t="s">
        <v>310</v>
      </c>
      <c r="F288" s="3" t="s">
        <v>310</v>
      </c>
      <c r="G288" s="5">
        <v>42735</v>
      </c>
      <c r="H288" s="3"/>
      <c r="I288" s="49" t="s">
        <v>310</v>
      </c>
      <c r="J288" s="49" t="s">
        <v>310</v>
      </c>
      <c r="K288" s="49" t="s">
        <v>310</v>
      </c>
      <c r="L288" s="69"/>
      <c r="M288" s="56"/>
      <c r="N288" s="56"/>
      <c r="O288" s="56"/>
      <c r="T288" s="78"/>
    </row>
    <row r="289" spans="1:20" s="10" customFormat="1" ht="42.75" x14ac:dyDescent="0.2">
      <c r="A289" s="1"/>
      <c r="B289" s="29" t="s">
        <v>285</v>
      </c>
      <c r="C289" s="28"/>
      <c r="D289" s="114" t="s">
        <v>305</v>
      </c>
      <c r="E289" s="5">
        <v>41640</v>
      </c>
      <c r="F289" s="3"/>
      <c r="G289" s="5">
        <v>42735</v>
      </c>
      <c r="H289" s="3"/>
      <c r="I289" s="6">
        <f>I290</f>
        <v>36379.225549999996</v>
      </c>
      <c r="J289" s="6">
        <f t="shared" ref="J289:K289" si="53">J290</f>
        <v>9900</v>
      </c>
      <c r="K289" s="34">
        <f t="shared" si="53"/>
        <v>0</v>
      </c>
      <c r="L289" s="69"/>
      <c r="M289" s="56"/>
      <c r="N289" s="56"/>
      <c r="O289" s="56"/>
      <c r="T289" s="78"/>
    </row>
    <row r="290" spans="1:20" s="10" customFormat="1" ht="51" customHeight="1" x14ac:dyDescent="0.2">
      <c r="A290" s="1"/>
      <c r="B290" s="28" t="s">
        <v>304</v>
      </c>
      <c r="C290" s="28"/>
      <c r="D290" s="114"/>
      <c r="E290" s="5">
        <v>41640</v>
      </c>
      <c r="F290" s="5">
        <v>41640</v>
      </c>
      <c r="G290" s="5">
        <v>42735</v>
      </c>
      <c r="H290" s="3"/>
      <c r="I290" s="49">
        <f>36379225.55/1000</f>
        <v>36379.225549999996</v>
      </c>
      <c r="J290" s="49">
        <v>9900</v>
      </c>
      <c r="K290" s="50">
        <v>0</v>
      </c>
      <c r="L290" s="70" t="s">
        <v>340</v>
      </c>
      <c r="M290" s="56"/>
      <c r="N290" s="56"/>
      <c r="O290" s="56"/>
      <c r="T290" s="78"/>
    </row>
    <row r="291" spans="1:20" s="10" customFormat="1" ht="96" customHeight="1" x14ac:dyDescent="0.2">
      <c r="A291" s="1"/>
      <c r="B291" s="30" t="s">
        <v>286</v>
      </c>
      <c r="C291" s="28"/>
      <c r="D291" s="63" t="s">
        <v>305</v>
      </c>
      <c r="E291" s="3" t="s">
        <v>310</v>
      </c>
      <c r="F291" s="3" t="s">
        <v>310</v>
      </c>
      <c r="G291" s="5">
        <v>42004</v>
      </c>
      <c r="H291" s="3"/>
      <c r="I291" s="49" t="s">
        <v>310</v>
      </c>
      <c r="J291" s="49" t="s">
        <v>310</v>
      </c>
      <c r="K291" s="49" t="s">
        <v>310</v>
      </c>
      <c r="L291" s="69"/>
      <c r="M291" s="56"/>
      <c r="N291" s="56"/>
      <c r="O291" s="56"/>
      <c r="T291" s="78"/>
    </row>
    <row r="292" spans="1:20" s="10" customFormat="1" ht="92.25" customHeight="1" x14ac:dyDescent="0.2">
      <c r="A292" s="1"/>
      <c r="B292" s="30" t="s">
        <v>287</v>
      </c>
      <c r="C292" s="28"/>
      <c r="D292" s="63" t="s">
        <v>305</v>
      </c>
      <c r="E292" s="3" t="s">
        <v>310</v>
      </c>
      <c r="F292" s="3" t="s">
        <v>310</v>
      </c>
      <c r="G292" s="5">
        <v>42369</v>
      </c>
      <c r="H292" s="3"/>
      <c r="I292" s="49" t="s">
        <v>310</v>
      </c>
      <c r="J292" s="49" t="s">
        <v>310</v>
      </c>
      <c r="K292" s="49" t="s">
        <v>310</v>
      </c>
      <c r="L292" s="69"/>
      <c r="M292" s="56"/>
      <c r="N292" s="56"/>
      <c r="O292" s="56"/>
      <c r="T292" s="78"/>
    </row>
    <row r="293" spans="1:20" s="10" customFormat="1" ht="97.5" customHeight="1" x14ac:dyDescent="0.2">
      <c r="A293" s="1"/>
      <c r="B293" s="30" t="s">
        <v>288</v>
      </c>
      <c r="C293" s="28"/>
      <c r="D293" s="63" t="s">
        <v>305</v>
      </c>
      <c r="E293" s="3" t="s">
        <v>310</v>
      </c>
      <c r="F293" s="3" t="s">
        <v>310</v>
      </c>
      <c r="G293" s="5">
        <v>42369</v>
      </c>
      <c r="H293" s="3"/>
      <c r="I293" s="49" t="s">
        <v>310</v>
      </c>
      <c r="J293" s="49" t="s">
        <v>310</v>
      </c>
      <c r="K293" s="49" t="s">
        <v>310</v>
      </c>
      <c r="L293" s="69"/>
      <c r="M293" s="56"/>
      <c r="N293" s="56"/>
      <c r="O293" s="56"/>
      <c r="T293" s="78"/>
    </row>
    <row r="294" spans="1:20" s="10" customFormat="1" ht="33.75" customHeight="1" x14ac:dyDescent="0.2">
      <c r="A294" s="1"/>
      <c r="B294" s="29" t="s">
        <v>289</v>
      </c>
      <c r="C294" s="28"/>
      <c r="D294" s="114" t="s">
        <v>305</v>
      </c>
      <c r="E294" s="5">
        <v>41640</v>
      </c>
      <c r="F294" s="3"/>
      <c r="G294" s="5">
        <v>42735</v>
      </c>
      <c r="H294" s="3"/>
      <c r="I294" s="6">
        <f>SUM(I295:I298)</f>
        <v>241780.14449000001</v>
      </c>
      <c r="J294" s="6">
        <f t="shared" ref="J294:K294" si="54">SUM(J295:J298)</f>
        <v>74174.259999999995</v>
      </c>
      <c r="K294" s="6">
        <f t="shared" si="54"/>
        <v>118137.11</v>
      </c>
      <c r="L294" s="69"/>
      <c r="M294" s="56"/>
      <c r="N294" s="56"/>
      <c r="O294" s="56"/>
      <c r="T294" s="78"/>
    </row>
    <row r="295" spans="1:20" s="10" customFormat="1" ht="33" customHeight="1" x14ac:dyDescent="0.2">
      <c r="A295" s="115"/>
      <c r="B295" s="28" t="s">
        <v>339</v>
      </c>
      <c r="C295" s="28"/>
      <c r="D295" s="114"/>
      <c r="E295" s="5">
        <v>41640</v>
      </c>
      <c r="F295" s="3"/>
      <c r="G295" s="5">
        <v>42735</v>
      </c>
      <c r="H295" s="3"/>
      <c r="I295" s="49">
        <f>241780144.49/1000</f>
        <v>241780.14449000001</v>
      </c>
      <c r="J295" s="38">
        <v>74174.259999999995</v>
      </c>
      <c r="K295" s="75">
        <v>27542.86</v>
      </c>
      <c r="L295" s="72" t="s">
        <v>314</v>
      </c>
      <c r="M295" s="48" t="s">
        <v>315</v>
      </c>
      <c r="N295" s="20" t="s">
        <v>331</v>
      </c>
      <c r="O295" s="56"/>
      <c r="T295" s="78"/>
    </row>
    <row r="296" spans="1:20" s="10" customFormat="1" ht="18.75" x14ac:dyDescent="0.2">
      <c r="A296" s="116"/>
      <c r="B296" s="28" t="s">
        <v>338</v>
      </c>
      <c r="C296" s="28"/>
      <c r="D296" s="114"/>
      <c r="E296" s="5">
        <v>41640</v>
      </c>
      <c r="F296" s="3"/>
      <c r="G296" s="5">
        <v>42735</v>
      </c>
      <c r="H296" s="3"/>
      <c r="I296" s="49">
        <v>0</v>
      </c>
      <c r="J296" s="49">
        <v>0</v>
      </c>
      <c r="K296" s="75">
        <v>90594.25</v>
      </c>
      <c r="L296" s="72"/>
      <c r="M296" s="48"/>
      <c r="N296" s="20"/>
      <c r="O296" s="56"/>
      <c r="T296" s="78"/>
    </row>
    <row r="297" spans="1:20" s="10" customFormat="1" ht="18.75" x14ac:dyDescent="0.2">
      <c r="A297" s="117"/>
      <c r="B297" s="28" t="s">
        <v>337</v>
      </c>
      <c r="C297" s="28"/>
      <c r="D297" s="114"/>
      <c r="E297" s="5">
        <v>41640</v>
      </c>
      <c r="F297" s="3"/>
      <c r="G297" s="5">
        <v>42735</v>
      </c>
      <c r="H297" s="3"/>
      <c r="I297" s="49">
        <v>0</v>
      </c>
      <c r="J297" s="49">
        <v>0</v>
      </c>
      <c r="K297" s="75">
        <v>0</v>
      </c>
      <c r="L297" s="72" t="s">
        <v>314</v>
      </c>
      <c r="M297" s="48" t="s">
        <v>315</v>
      </c>
      <c r="N297" s="20" t="s">
        <v>327</v>
      </c>
      <c r="O297" s="56"/>
      <c r="T297" s="78"/>
    </row>
    <row r="298" spans="1:20" s="10" customFormat="1" ht="34.5" customHeight="1" x14ac:dyDescent="0.2">
      <c r="A298" s="1"/>
      <c r="B298" s="28" t="s">
        <v>290</v>
      </c>
      <c r="C298" s="28"/>
      <c r="D298" s="114"/>
      <c r="E298" s="5">
        <v>41640</v>
      </c>
      <c r="F298" s="3"/>
      <c r="G298" s="5">
        <v>42735</v>
      </c>
      <c r="H298" s="3"/>
      <c r="I298" s="49">
        <v>0</v>
      </c>
      <c r="J298" s="49">
        <v>0</v>
      </c>
      <c r="K298" s="50">
        <v>0</v>
      </c>
      <c r="L298" s="69"/>
      <c r="M298" s="56"/>
      <c r="N298" s="56"/>
      <c r="O298" s="56"/>
      <c r="T298" s="78"/>
    </row>
    <row r="299" spans="1:20" s="10" customFormat="1" ht="95.25" customHeight="1" x14ac:dyDescent="0.2">
      <c r="A299" s="1"/>
      <c r="B299" s="30" t="s">
        <v>291</v>
      </c>
      <c r="C299" s="28"/>
      <c r="D299" s="63" t="s">
        <v>305</v>
      </c>
      <c r="E299" s="3" t="s">
        <v>310</v>
      </c>
      <c r="F299" s="3" t="s">
        <v>310</v>
      </c>
      <c r="G299" s="5">
        <v>42004</v>
      </c>
      <c r="H299" s="3"/>
      <c r="I299" s="49" t="s">
        <v>310</v>
      </c>
      <c r="J299" s="49" t="s">
        <v>310</v>
      </c>
      <c r="K299" s="49" t="s">
        <v>310</v>
      </c>
      <c r="L299" s="69"/>
      <c r="M299" s="56"/>
      <c r="N299" s="56"/>
      <c r="O299" s="56"/>
      <c r="T299" s="78"/>
    </row>
    <row r="300" spans="1:20" s="10" customFormat="1" ht="92.25" customHeight="1" x14ac:dyDescent="0.2">
      <c r="A300" s="1"/>
      <c r="B300" s="30" t="s">
        <v>292</v>
      </c>
      <c r="C300" s="28"/>
      <c r="D300" s="63" t="s">
        <v>305</v>
      </c>
      <c r="E300" s="3" t="s">
        <v>310</v>
      </c>
      <c r="F300" s="3" t="s">
        <v>310</v>
      </c>
      <c r="G300" s="5">
        <v>42369</v>
      </c>
      <c r="H300" s="3"/>
      <c r="I300" s="49" t="s">
        <v>310</v>
      </c>
      <c r="J300" s="49" t="s">
        <v>310</v>
      </c>
      <c r="K300" s="49" t="s">
        <v>310</v>
      </c>
      <c r="L300" s="69"/>
      <c r="M300" s="56"/>
      <c r="N300" s="56"/>
      <c r="O300" s="56"/>
      <c r="T300" s="78"/>
    </row>
    <row r="301" spans="1:20" s="10" customFormat="1" ht="93.75" customHeight="1" x14ac:dyDescent="0.2">
      <c r="A301" s="1"/>
      <c r="B301" s="30" t="s">
        <v>293</v>
      </c>
      <c r="C301" s="28"/>
      <c r="D301" s="63" t="s">
        <v>305</v>
      </c>
      <c r="E301" s="3" t="s">
        <v>310</v>
      </c>
      <c r="F301" s="3" t="s">
        <v>310</v>
      </c>
      <c r="G301" s="5">
        <v>42735</v>
      </c>
      <c r="H301" s="3"/>
      <c r="I301" s="49" t="s">
        <v>310</v>
      </c>
      <c r="J301" s="49" t="s">
        <v>310</v>
      </c>
      <c r="K301" s="49" t="s">
        <v>310</v>
      </c>
      <c r="L301" s="69"/>
      <c r="M301" s="56"/>
      <c r="N301" s="56"/>
      <c r="O301" s="56"/>
      <c r="T301" s="78"/>
    </row>
    <row r="302" spans="1:20" s="10" customFormat="1" ht="47.25" customHeight="1" x14ac:dyDescent="0.2">
      <c r="A302" s="1"/>
      <c r="B302" s="29" t="s">
        <v>294</v>
      </c>
      <c r="C302" s="28"/>
      <c r="D302" s="114" t="s">
        <v>305</v>
      </c>
      <c r="E302" s="5">
        <v>41640</v>
      </c>
      <c r="F302" s="3"/>
      <c r="G302" s="5">
        <v>42735</v>
      </c>
      <c r="H302" s="3"/>
      <c r="I302" s="6">
        <f>I303+I304</f>
        <v>1076.5073200000002</v>
      </c>
      <c r="J302" s="6">
        <f t="shared" ref="J302:K302" si="55">J303+J304</f>
        <v>402</v>
      </c>
      <c r="K302" s="6">
        <f t="shared" si="55"/>
        <v>250</v>
      </c>
      <c r="L302" s="69"/>
      <c r="M302" s="56"/>
      <c r="N302" s="56"/>
      <c r="O302" s="56"/>
      <c r="T302" s="78"/>
    </row>
    <row r="303" spans="1:20" s="10" customFormat="1" ht="62.25" customHeight="1" x14ac:dyDescent="0.2">
      <c r="A303" s="1"/>
      <c r="B303" s="28" t="s">
        <v>295</v>
      </c>
      <c r="C303" s="28"/>
      <c r="D303" s="114"/>
      <c r="E303" s="5">
        <v>41640</v>
      </c>
      <c r="F303" s="5">
        <v>41640</v>
      </c>
      <c r="G303" s="5">
        <v>42735</v>
      </c>
      <c r="H303" s="3"/>
      <c r="I303" s="49">
        <f>1076507.32/1000</f>
        <v>1076.5073200000002</v>
      </c>
      <c r="J303" s="38">
        <v>402</v>
      </c>
      <c r="K303" s="50">
        <v>250</v>
      </c>
      <c r="L303" s="72" t="s">
        <v>314</v>
      </c>
      <c r="M303" s="48" t="s">
        <v>315</v>
      </c>
      <c r="N303" s="20" t="s">
        <v>318</v>
      </c>
      <c r="O303" s="56"/>
      <c r="T303" s="78"/>
    </row>
    <row r="304" spans="1:20" s="10" customFormat="1" ht="50.25" customHeight="1" x14ac:dyDescent="0.2">
      <c r="A304" s="1"/>
      <c r="B304" s="28" t="s">
        <v>296</v>
      </c>
      <c r="C304" s="28"/>
      <c r="D304" s="114"/>
      <c r="E304" s="5">
        <v>41640</v>
      </c>
      <c r="F304" s="5">
        <v>41640</v>
      </c>
      <c r="G304" s="5">
        <v>42735</v>
      </c>
      <c r="H304" s="3"/>
      <c r="I304" s="49">
        <v>0</v>
      </c>
      <c r="J304" s="49">
        <v>0</v>
      </c>
      <c r="K304" s="50">
        <v>0</v>
      </c>
      <c r="L304" s="69"/>
      <c r="M304" s="56"/>
      <c r="N304" s="56"/>
      <c r="O304" s="56"/>
      <c r="T304" s="78"/>
    </row>
    <row r="305" spans="1:20" s="10" customFormat="1" ht="92.25" customHeight="1" x14ac:dyDescent="0.2">
      <c r="A305" s="1"/>
      <c r="B305" s="30" t="s">
        <v>297</v>
      </c>
      <c r="C305" s="28"/>
      <c r="D305" s="63" t="s">
        <v>305</v>
      </c>
      <c r="E305" s="3" t="s">
        <v>310</v>
      </c>
      <c r="F305" s="3" t="s">
        <v>310</v>
      </c>
      <c r="G305" s="5">
        <v>42004</v>
      </c>
      <c r="H305" s="3"/>
      <c r="I305" s="49" t="s">
        <v>310</v>
      </c>
      <c r="J305" s="49" t="s">
        <v>310</v>
      </c>
      <c r="K305" s="49" t="s">
        <v>310</v>
      </c>
      <c r="L305" s="69"/>
      <c r="M305" s="56"/>
      <c r="N305" s="56"/>
      <c r="O305" s="56"/>
      <c r="T305" s="78"/>
    </row>
    <row r="306" spans="1:20" s="10" customFormat="1" ht="95.25" customHeight="1" x14ac:dyDescent="0.2">
      <c r="A306" s="1"/>
      <c r="B306" s="30" t="s">
        <v>298</v>
      </c>
      <c r="C306" s="28" t="s">
        <v>2</v>
      </c>
      <c r="D306" s="63" t="s">
        <v>305</v>
      </c>
      <c r="E306" s="3" t="s">
        <v>310</v>
      </c>
      <c r="F306" s="3" t="s">
        <v>310</v>
      </c>
      <c r="G306" s="5">
        <v>42643</v>
      </c>
      <c r="H306" s="3"/>
      <c r="I306" s="49" t="s">
        <v>310</v>
      </c>
      <c r="J306" s="49" t="s">
        <v>310</v>
      </c>
      <c r="K306" s="49" t="s">
        <v>310</v>
      </c>
      <c r="L306" s="69"/>
      <c r="M306" s="56"/>
      <c r="N306" s="56"/>
      <c r="O306" s="56"/>
      <c r="T306" s="78"/>
    </row>
    <row r="307" spans="1:20" s="10" customFormat="1" ht="18.75" x14ac:dyDescent="0.2">
      <c r="A307" s="1"/>
      <c r="B307" s="92" t="s">
        <v>299</v>
      </c>
      <c r="C307" s="83"/>
      <c r="D307" s="83"/>
      <c r="E307" s="84"/>
      <c r="F307" s="84"/>
      <c r="G307" s="84"/>
      <c r="H307" s="84"/>
      <c r="I307" s="86">
        <f>I302+I294+I289+I284+I279+I271+I269</f>
        <v>404580.08305999998</v>
      </c>
      <c r="J307" s="86">
        <f t="shared" ref="J307:K307" si="56">J302+J294+J289+J284+J279+J271+J269</f>
        <v>115211.29</v>
      </c>
      <c r="K307" s="87">
        <f t="shared" si="56"/>
        <v>129000.5</v>
      </c>
      <c r="L307" s="69"/>
      <c r="M307" s="56"/>
      <c r="N307" s="56"/>
      <c r="O307" s="56"/>
      <c r="T307" s="78"/>
    </row>
    <row r="308" spans="1:20" s="10" customFormat="1" ht="18.75" customHeight="1" x14ac:dyDescent="0.2">
      <c r="B308" s="99" t="s">
        <v>364</v>
      </c>
      <c r="C308" s="100"/>
      <c r="D308" s="100"/>
      <c r="E308" s="100"/>
      <c r="F308" s="100"/>
      <c r="G308" s="100"/>
      <c r="H308" s="101"/>
      <c r="I308" s="86">
        <f>I54+I168+I202+I254+I267+I307</f>
        <v>902766.04174000002</v>
      </c>
      <c r="J308" s="86">
        <f t="shared" ref="J308:K308" si="57">J54+J168+J202+J254+J267+J307</f>
        <v>230770.56</v>
      </c>
      <c r="K308" s="86">
        <f t="shared" si="57"/>
        <v>240238.51</v>
      </c>
      <c r="L308" s="97"/>
      <c r="M308" s="98"/>
      <c r="N308" s="98"/>
      <c r="O308" s="98"/>
      <c r="T308" s="78"/>
    </row>
    <row r="310" spans="1:20" ht="36" customHeight="1" x14ac:dyDescent="0.2">
      <c r="A310" s="112" t="s">
        <v>8</v>
      </c>
      <c r="B310" s="112"/>
      <c r="C310" s="112"/>
      <c r="D310" s="112"/>
      <c r="E310" s="112"/>
      <c r="F310" s="112"/>
      <c r="G310" s="112"/>
      <c r="H310" s="112"/>
      <c r="I310" s="112"/>
      <c r="J310" s="112"/>
    </row>
    <row r="311" spans="1:20" ht="36" customHeight="1" x14ac:dyDescent="0.2">
      <c r="A311" s="111" t="s">
        <v>15</v>
      </c>
      <c r="B311" s="111"/>
      <c r="C311" s="111"/>
      <c r="D311" s="111"/>
      <c r="E311" s="111"/>
      <c r="F311" s="111"/>
      <c r="G311" s="111"/>
      <c r="H311" s="111"/>
      <c r="I311" s="111"/>
      <c r="J311" s="111"/>
    </row>
    <row r="312" spans="1:20" ht="36" customHeight="1" x14ac:dyDescent="0.2">
      <c r="A312" s="111" t="s">
        <v>14</v>
      </c>
      <c r="B312" s="111"/>
      <c r="C312" s="111"/>
      <c r="D312" s="111"/>
      <c r="E312" s="111"/>
      <c r="F312" s="111"/>
      <c r="G312" s="111"/>
      <c r="H312" s="111"/>
      <c r="I312" s="111"/>
      <c r="J312" s="111"/>
    </row>
    <row r="316" spans="1:20" x14ac:dyDescent="0.2">
      <c r="K316" s="24"/>
    </row>
  </sheetData>
  <mergeCells count="102">
    <mergeCell ref="L2:O5"/>
    <mergeCell ref="O7:O8"/>
    <mergeCell ref="A272:A275"/>
    <mergeCell ref="D271:D275"/>
    <mergeCell ref="C271:C275"/>
    <mergeCell ref="E271:E275"/>
    <mergeCell ref="G271:G275"/>
    <mergeCell ref="I272:I275"/>
    <mergeCell ref="M7:M8"/>
    <mergeCell ref="N7:N8"/>
    <mergeCell ref="B169:K169"/>
    <mergeCell ref="L7:L8"/>
    <mergeCell ref="D103:D105"/>
    <mergeCell ref="D215:D217"/>
    <mergeCell ref="D221:D223"/>
    <mergeCell ref="D227:D229"/>
    <mergeCell ref="D233:D235"/>
    <mergeCell ref="D62:D64"/>
    <mergeCell ref="D66:D68"/>
    <mergeCell ref="B55:K55"/>
    <mergeCell ref="B10:K10"/>
    <mergeCell ref="D127:D129"/>
    <mergeCell ref="D11:D15"/>
    <mergeCell ref="A7:A8"/>
    <mergeCell ref="D17:D19"/>
    <mergeCell ref="D302:D304"/>
    <mergeCell ref="B54:H54"/>
    <mergeCell ref="B202:H202"/>
    <mergeCell ref="B168:H168"/>
    <mergeCell ref="B267:H267"/>
    <mergeCell ref="M273:M275"/>
    <mergeCell ref="L273:L275"/>
    <mergeCell ref="D269:D270"/>
    <mergeCell ref="D279:D280"/>
    <mergeCell ref="D284:D285"/>
    <mergeCell ref="D289:D290"/>
    <mergeCell ref="D237:D239"/>
    <mergeCell ref="D243:D244"/>
    <mergeCell ref="D173:D177"/>
    <mergeCell ref="D181:D183"/>
    <mergeCell ref="D187:D189"/>
    <mergeCell ref="D193:D198"/>
    <mergeCell ref="D204:D206"/>
    <mergeCell ref="D248:D250"/>
    <mergeCell ref="D256:D257"/>
    <mergeCell ref="D261:D263"/>
    <mergeCell ref="D56:D58"/>
    <mergeCell ref="D27:D29"/>
    <mergeCell ref="B2:K3"/>
    <mergeCell ref="B7:B8"/>
    <mergeCell ref="C7:C8"/>
    <mergeCell ref="D7:D8"/>
    <mergeCell ref="F7:F8"/>
    <mergeCell ref="H7:H8"/>
    <mergeCell ref="I7:J7"/>
    <mergeCell ref="K7:K8"/>
    <mergeCell ref="E7:E8"/>
    <mergeCell ref="G7:G8"/>
    <mergeCell ref="B4:K4"/>
    <mergeCell ref="B5:K5"/>
    <mergeCell ref="B6:K6"/>
    <mergeCell ref="D31:D33"/>
    <mergeCell ref="F271:F275"/>
    <mergeCell ref="H271:H275"/>
    <mergeCell ref="P87:P88"/>
    <mergeCell ref="P141:P142"/>
    <mergeCell ref="J272:J275"/>
    <mergeCell ref="D97:D99"/>
    <mergeCell ref="D72:D74"/>
    <mergeCell ref="D76:D78"/>
    <mergeCell ref="D79:D81"/>
    <mergeCell ref="D82:D84"/>
    <mergeCell ref="D86:D88"/>
    <mergeCell ref="D89:D91"/>
    <mergeCell ref="D92:D94"/>
    <mergeCell ref="D37:D39"/>
    <mergeCell ref="D43:D45"/>
    <mergeCell ref="D209:D211"/>
    <mergeCell ref="P17:P19"/>
    <mergeCell ref="B203:K203"/>
    <mergeCell ref="A312:J312"/>
    <mergeCell ref="A310:J310"/>
    <mergeCell ref="A311:J311"/>
    <mergeCell ref="D100:D102"/>
    <mergeCell ref="D107:D108"/>
    <mergeCell ref="D111:D113"/>
    <mergeCell ref="D117:D119"/>
    <mergeCell ref="D121:D123"/>
    <mergeCell ref="D131:D133"/>
    <mergeCell ref="D137:D138"/>
    <mergeCell ref="D140:D142"/>
    <mergeCell ref="D144:D146"/>
    <mergeCell ref="D150:D152"/>
    <mergeCell ref="D156:D158"/>
    <mergeCell ref="D162:D164"/>
    <mergeCell ref="D170:D172"/>
    <mergeCell ref="A295:A297"/>
    <mergeCell ref="D294:D298"/>
    <mergeCell ref="B255:K255"/>
    <mergeCell ref="B268:K268"/>
    <mergeCell ref="D48:D50"/>
    <mergeCell ref="D23:D25"/>
  </mergeCells>
  <phoneticPr fontId="0" type="noConversion"/>
  <pageMargins left="0" right="0" top="0" bottom="0" header="0" footer="0"/>
  <pageSetup paperSize="9" scale="58" fitToHeight="0" orientation="landscape" r:id="rId1"/>
  <headerFooter alignWithMargins="0">
    <oddFooter>Страница &amp;P</oddFooter>
  </headerFooter>
  <rowBreaks count="1" manualBreakCount="1">
    <brk id="29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8" sqref="C1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Влох Артем Валерьевич</cp:lastModifiedBy>
  <cp:lastPrinted>2014-04-25T06:11:29Z</cp:lastPrinted>
  <dcterms:created xsi:type="dcterms:W3CDTF">2012-09-21T04:58:23Z</dcterms:created>
  <dcterms:modified xsi:type="dcterms:W3CDTF">2014-04-30T06:40:15Z</dcterms:modified>
</cp:coreProperties>
</file>